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75" windowWidth="11355" windowHeight="8580" tabRatio="825" activeTab="0"/>
  </bookViews>
  <sheets>
    <sheet name="SOR RATE" sheetId="1" r:id="rId1"/>
    <sheet name="C-1" sheetId="2" r:id="rId2"/>
    <sheet name="C-2" sheetId="3" r:id="rId3"/>
    <sheet name="C-3" sheetId="4" r:id="rId4"/>
    <sheet name="C-3 (A)" sheetId="5" r:id="rId5"/>
    <sheet name="C-3 (B)" sheetId="6" r:id="rId6"/>
    <sheet name="C-3 (C)" sheetId="7" r:id="rId7"/>
    <sheet name="C-3 (D)" sheetId="8" r:id="rId8"/>
    <sheet name="C-3 (E)" sheetId="9" r:id="rId9"/>
    <sheet name="C-4" sheetId="10" r:id="rId10"/>
    <sheet name="C-5" sheetId="11" r:id="rId11"/>
    <sheet name="C-6" sheetId="12" r:id="rId12"/>
    <sheet name="C-7(A-1)" sheetId="13" r:id="rId13"/>
    <sheet name="C-7(A-2)" sheetId="14" r:id="rId14"/>
    <sheet name="C-7(B-1)" sheetId="15" r:id="rId15"/>
    <sheet name="C-7 (B-1) A" sheetId="16" r:id="rId16"/>
    <sheet name="C-7 (B-1) B" sheetId="17" r:id="rId17"/>
    <sheet name="C-7(B-2)" sheetId="18" r:id="rId18"/>
    <sheet name="C-8" sheetId="19" r:id="rId19"/>
    <sheet name="C-9" sheetId="20" r:id="rId20"/>
    <sheet name="C-9 (A)" sheetId="21" r:id="rId21"/>
    <sheet name="C-10" sheetId="22" r:id="rId22"/>
    <sheet name="C-11" sheetId="23" r:id="rId23"/>
    <sheet name="C-11 (A)" sheetId="24" r:id="rId24"/>
    <sheet name="C-12" sheetId="25" r:id="rId25"/>
    <sheet name="C-12 (A)" sheetId="26" r:id="rId26"/>
    <sheet name="C-13" sheetId="27" r:id="rId27"/>
    <sheet name="C-14" sheetId="28" r:id="rId28"/>
    <sheet name="C-15" sheetId="29" r:id="rId29"/>
    <sheet name="C-16" sheetId="30" r:id="rId30"/>
    <sheet name="C-17" sheetId="31" r:id="rId31"/>
    <sheet name="C-18" sheetId="32" r:id="rId32"/>
  </sheets>
  <definedNames>
    <definedName name="_xlnm.Print_Titles" localSheetId="1">'C-1'!$6:$8</definedName>
    <definedName name="_xlnm.Print_Titles" localSheetId="21">'C-10'!$7:$9</definedName>
    <definedName name="_xlnm.Print_Titles" localSheetId="22">'C-11'!$7:$9</definedName>
    <definedName name="_xlnm.Print_Titles" localSheetId="23">'C-11 (A)'!$7:$9</definedName>
    <definedName name="_xlnm.Print_Titles" localSheetId="26">'C-13'!$6:$8</definedName>
    <definedName name="_xlnm.Print_Titles" localSheetId="27">'C-14'!$5:$7</definedName>
    <definedName name="_xlnm.Print_Titles" localSheetId="28">'C-15'!$8:$10</definedName>
    <definedName name="_xlnm.Print_Titles" localSheetId="30">'C-17'!$5:$7</definedName>
    <definedName name="_xlnm.Print_Titles" localSheetId="31">'C-18'!$5:$7</definedName>
    <definedName name="_xlnm.Print_Titles" localSheetId="2">'C-2'!$7:$8</definedName>
    <definedName name="_xlnm.Print_Titles" localSheetId="3">'C-3'!$5:$7</definedName>
    <definedName name="_xlnm.Print_Titles" localSheetId="4">'C-3 (A)'!$6:$8</definedName>
    <definedName name="_xlnm.Print_Titles" localSheetId="5">'C-3 (B)'!$6:$9</definedName>
    <definedName name="_xlnm.Print_Titles" localSheetId="8">'C-3 (E)'!$6:$7</definedName>
    <definedName name="_xlnm.Print_Titles" localSheetId="9">'C-4'!$6:$8</definedName>
    <definedName name="_xlnm.Print_Titles" localSheetId="10">'C-5'!$7:$9</definedName>
    <definedName name="_xlnm.Print_Titles" localSheetId="11">'C-6'!$6:$7</definedName>
    <definedName name="_xlnm.Print_Titles" localSheetId="15">'C-7 (B-1) A'!$7:$9</definedName>
    <definedName name="_xlnm.Print_Titles" localSheetId="12">'C-7(A-1)'!$5:$7</definedName>
    <definedName name="_xlnm.Print_Titles" localSheetId="13">'C-7(A-2)'!$5:$7</definedName>
    <definedName name="_xlnm.Print_Titles" localSheetId="14">'C-7(B-1)'!$6:$8</definedName>
    <definedName name="_xlnm.Print_Titles" localSheetId="17">'C-7(B-2)'!$5:$6</definedName>
    <definedName name="_xlnm.Print_Titles" localSheetId="18">'C-8'!$7:$9</definedName>
    <definedName name="_xlnm.Print_Titles" localSheetId="19">'C-9'!$6:$8</definedName>
  </definedNames>
  <calcPr fullCalcOnLoad="1"/>
</workbook>
</file>

<file path=xl/sharedStrings.xml><?xml version="1.0" encoding="utf-8"?>
<sst xmlns="http://schemas.openxmlformats.org/spreadsheetml/2006/main" count="4309" uniqueCount="1664">
  <si>
    <t>TPN SWITCHES, 415 VOLTS: - 63 AMPS.</t>
  </si>
  <si>
    <t>TPN SWITCHES, 415 VOLTS: - 100 AMPS.</t>
  </si>
  <si>
    <t>TPN SWITCHES, 415 VOLTS: - 200 AMPS.</t>
  </si>
  <si>
    <t>TPN SWITCHES, 415 VOLTS: - 300 AMPS.</t>
  </si>
  <si>
    <t>TPN SWITCHES, 415 VOLTS: - 400 AMPS.</t>
  </si>
  <si>
    <t>DIST.BOARD &amp; DP MCB 4NO 6A&amp;2NO 16A</t>
  </si>
  <si>
    <t>33 KV 600AMPS WITH EARTH SWITCH ISOLATO</t>
  </si>
  <si>
    <t xml:space="preserve">Amount </t>
  </si>
  <si>
    <t>(i) 140 Kg 8.0 Mtr long PCC Pole</t>
  </si>
  <si>
    <t>(ii) 175x85 mm 11.0 Mtr long R.S. Joist @19.495 Kg/mtr x 9 mtr = 175.45 kg/pole x 2 No = 428.9 Kgs, For 4 No pole = 857.8 Kg</t>
  </si>
  <si>
    <t>DC Cross arm of 100x50 mm 8' Center</t>
  </si>
  <si>
    <t>11 kV H.W.</t>
  </si>
  <si>
    <t>11 kV DO fuse &amp; LA mounting DC Cross arm (75x40 mm)</t>
  </si>
  <si>
    <t>M.S. Angle 50x50x6 mm for X-mer Clamping set</t>
  </si>
  <si>
    <t xml:space="preserve">(i) Stay Set 16 mm </t>
  </si>
  <si>
    <t>11KV 8 FEET CENTRE DC CROSS ARM</t>
  </si>
  <si>
    <t>33 KV V CROSS ARM</t>
  </si>
  <si>
    <t>33 KV 5 FEET CENTRE DC CROSS ARM</t>
  </si>
  <si>
    <t>STRAIN PLATE</t>
  </si>
  <si>
    <t>33KV top clamp</t>
  </si>
  <si>
    <t>11KV top clamp</t>
  </si>
  <si>
    <t>11KV cut point channel paint</t>
  </si>
  <si>
    <t>33 kV CTPT Unit 10/5 A</t>
  </si>
  <si>
    <t>33 kV CTPT Unit 30/5 A</t>
  </si>
  <si>
    <t>33 kV CTPT Unit 50/5 A</t>
  </si>
  <si>
    <t>33 kV CTPT Unit 100 /5A</t>
  </si>
  <si>
    <t>33 kV CTPT Unit 200/5A</t>
  </si>
  <si>
    <t>33 kV CTPT Unit 400-200/5 A</t>
  </si>
  <si>
    <t>Old Bin Code-7132230472</t>
  </si>
  <si>
    <t>Old Bin Code-7132230482</t>
  </si>
  <si>
    <t>Old Bin Code-7132448851</t>
  </si>
  <si>
    <t>Indoor Type 33 kV Metering Cubical CTPT Unit 50/5 A</t>
  </si>
  <si>
    <t xml:space="preserve">Transformer Oil In Barrel </t>
  </si>
  <si>
    <t xml:space="preserve">Transformer Oil In Tanker </t>
  </si>
  <si>
    <t>11 KV Pin insulator without GI Pin</t>
  </si>
  <si>
    <t>33 KV Pin insulator without GI Pin.</t>
  </si>
  <si>
    <t>SHACKEL INSULATORS: - 65 x 50 mm.</t>
  </si>
  <si>
    <t>M S CHANNEL 100X50 MM</t>
  </si>
  <si>
    <t>M S FLAT 65X8 MM</t>
  </si>
  <si>
    <t>R.S.JOIST 125 x 70 mm</t>
  </si>
  <si>
    <t>R S JOIST 175X85 MM</t>
  </si>
  <si>
    <t>Rails 52.09 kgs per Mtr./105 lbs yard</t>
  </si>
  <si>
    <t>RAIL 60 KG PER METER</t>
  </si>
  <si>
    <t>H BEAMS 152X152MM; 37,1 KG/MTR.</t>
  </si>
  <si>
    <t>MS H BEAMS 152X152MM, 37.1 KG/MTR 11MTR</t>
  </si>
  <si>
    <t>G.I. WIRES: - Barbed wire.</t>
  </si>
  <si>
    <t>I BOLT M 20X128MM THREAD PORTION 50 MM I</t>
  </si>
  <si>
    <t>BOLT WITH NUT G I 16X40 MM</t>
  </si>
  <si>
    <t>BOLT WITH NUT GI 16X65 MM</t>
  </si>
  <si>
    <t>12x100 mm</t>
  </si>
  <si>
    <t>Note:-  All the rates are with considering price variation clause.</t>
  </si>
  <si>
    <t>COST SCHEDULE  C-1</t>
  </si>
  <si>
    <t>1 KM OF 11 kV LINE ON PCC POLE 140 KG 8.0 METER LONG WITH MAXIMUM OF 65 Mtrs SPAN USING RABBIT AND WEASEL CONDUCTOR</t>
  </si>
  <si>
    <t xml:space="preserve"> New SAP Bin Code</t>
  </si>
  <si>
    <t>Using RABBIT Conductor</t>
  </si>
  <si>
    <t>33 kV Top Channel 75x75x6 mm</t>
  </si>
  <si>
    <t>11 kV Top Clamp Angle type 65x65x6 mm</t>
  </si>
  <si>
    <t>Stay Clamp Rail for H-Beam</t>
  </si>
  <si>
    <t>SCREW DRIVER 150MM</t>
  </si>
  <si>
    <t>SCREW DRIVER INSULATED 255MM</t>
  </si>
  <si>
    <t>RING SPANNER</t>
  </si>
  <si>
    <t>DOUBLE END SPANNER</t>
  </si>
  <si>
    <t>BOX SPANNER</t>
  </si>
  <si>
    <t>11 KV CAPACITOR 600KVAR</t>
  </si>
  <si>
    <t>POLE MOUNTED GAS FILLED LT SHUNT CAPACIT</t>
  </si>
  <si>
    <t>CAPACITOR BANK 11KV 3PHASE 1200 KVAR</t>
  </si>
  <si>
    <t>XMER 16KVA 11/0.4 FOUR STAR ALU WOUND</t>
  </si>
  <si>
    <t>TRANSFORMER 25KVA 11/0.4KV  FOUR STAR</t>
  </si>
  <si>
    <t>TRANSFORMER 63KVA 11/0.43KV FOUR STAR</t>
  </si>
  <si>
    <t>TRANSFORMER 100KVA 11/0.43KV FOUR STAR</t>
  </si>
  <si>
    <t>TRANSFORMER 200KVA 11/0.4KV FOUR STAR</t>
  </si>
  <si>
    <t>XMER 315KVA 11/0.43KV CEA REG. CU WOUND</t>
  </si>
  <si>
    <t xml:space="preserve">Tube Spanners </t>
  </si>
  <si>
    <t>Pipe Wrench 24 inches size</t>
  </si>
  <si>
    <t>Pipe Wrench 18 inches size</t>
  </si>
  <si>
    <t>Double end spanner (6x7,8x9, 10x11,12x13,14x15,16x17,18x19, 20x22x,21x23,24x27,25x28,30x32)</t>
  </si>
  <si>
    <t>Hack saw frames + B185</t>
  </si>
  <si>
    <t>Hand Torch 5 cell</t>
  </si>
  <si>
    <t>Hand Torch 3 cell</t>
  </si>
  <si>
    <t>Discharge Rod</t>
  </si>
  <si>
    <t>Neon tester</t>
  </si>
  <si>
    <t>Screw driver Set</t>
  </si>
  <si>
    <t>Screw driver 250 mm</t>
  </si>
  <si>
    <t>Screw driver 200 mm</t>
  </si>
  <si>
    <t>Screw driver 150 mm</t>
  </si>
  <si>
    <t>Hammer 8 Lbs (3629 gm)</t>
  </si>
  <si>
    <t>Hammer 2 Lbs (907 gm.)</t>
  </si>
  <si>
    <t>Allen keys set of 9 Pcs.(1.5mm; 2mm; 2.5mm;3mm; 4mm; 5mm; 6mm; 8mm; 10mm) Black finish, box packing</t>
  </si>
  <si>
    <t>Box spanners (of size 32Af, 27A/F, 30 A/F&amp; tommy Bar)</t>
  </si>
  <si>
    <t>Transil oil Dielectric Breakdown testkit</t>
  </si>
  <si>
    <t>Tong tester</t>
  </si>
  <si>
    <t>D.C.Volt meter range - 3V to + 5V</t>
  </si>
  <si>
    <t>Specific gravity correction chart</t>
  </si>
  <si>
    <t>Wall mounting type holder for Hydrometer</t>
  </si>
  <si>
    <t>Earth resistance tester (20/200/2000 Ω)</t>
  </si>
  <si>
    <t>Rain Coats with Hoods</t>
  </si>
  <si>
    <t>Gum Boots</t>
  </si>
  <si>
    <t>11 kV 3 Core 240 sqmm XLPE UG Cable</t>
  </si>
  <si>
    <t>11 kV Jointing and cable termination kit for 240 sqmm XLPE cable</t>
  </si>
  <si>
    <t xml:space="preserve">Transport charges upto 50 Kms average lead from Area stores to construction camp inc. site transport (Transport Sch. T-1) </t>
  </si>
  <si>
    <t>Barbed wire [@ 2 Kg/Pole]</t>
  </si>
  <si>
    <t>11 kV CTPT unit of appropriate capacity</t>
  </si>
  <si>
    <t>COST SCHEDULE   C-18</t>
  </si>
  <si>
    <t>SCHEDULE FOR NEW AUTOMATED 11 KV CAPACITOR BANK AT 33/11 KV SUB-STATIONS</t>
  </si>
  <si>
    <t xml:space="preserve">12.1 kV,1815 kVAr, 3-Phase, 50 Hz, Outdoor Type , Capacitor bank </t>
  </si>
  <si>
    <t xml:space="preserve">Transport charges upto 50 Kms average lead from Area stores to construction camp inc. site transport (Transport Sch  T-1) - Taken 5% of </t>
  </si>
  <si>
    <t>Cost per pole for non-guaranteed works</t>
  </si>
  <si>
    <t>COST PER KM OF 11 kV LINE ON AERIAL BUNCHED CABLE (ABC) OF 35 &amp; 70 SQ.MM. ON  11 MTR. LONG H - BEAM / 9.0 MTR LONG PCC POLE OF SPAN 35 MTRS.</t>
  </si>
  <si>
    <t>"H" Beam 152x152mm 37.1 Kg/Mtr 11.0 Mtr long</t>
  </si>
  <si>
    <t>200 Kg; 9.0 Mtr long PCC Pole</t>
  </si>
  <si>
    <t>Using 11 kV  3 phase Aerial Bunched Cable 3x35+35 sqmm</t>
  </si>
  <si>
    <t>Using 11 kV  3 phase Aerial Bunched Cable 3x70+70 sqmm</t>
  </si>
  <si>
    <t>Indoor Type Automatic Control Unit along with APFC Relay</t>
  </si>
  <si>
    <t>GI Structure for complete Equipment</t>
  </si>
  <si>
    <t>Kgs.</t>
  </si>
  <si>
    <t>Armoured Control cable 16Cx2.5 Sqmm and junction box</t>
  </si>
  <si>
    <t>Armoured Control cable 10Cx2.5 Sqmm</t>
  </si>
  <si>
    <t>Armoured Control cable 2Cx2.5 Sqmm</t>
  </si>
  <si>
    <t xml:space="preserve">11 KV VCB ,630 A, suitable for Capacitor Switching </t>
  </si>
  <si>
    <t xml:space="preserve">11 KV VCB ,400 A, suitable for Capacitor Switching </t>
  </si>
  <si>
    <t>C &amp; R Panel for VCB</t>
  </si>
  <si>
    <t>11 KV Power Cable, HT XLPE, 120 Sq MM</t>
  </si>
  <si>
    <t>11 KV Power Cable, HT XLPE, 95 Sq MM</t>
  </si>
  <si>
    <t>Current Transformers for VCB. (200/100/5 A)</t>
  </si>
  <si>
    <t>Earthing through MS flat &amp; GI pipe (Set of 8 earthings)</t>
  </si>
  <si>
    <t xml:space="preserve">Concreting of structure </t>
  </si>
  <si>
    <t>Service in lieu of Concreting metal &amp; sand only</t>
  </si>
  <si>
    <t>L.T.Distribution Box for 500 kVA X'mer (800 A, isolator &amp; 12 SP MCCB of 150 A)</t>
  </si>
  <si>
    <t>33 kV Single Phase PT's (Oil filled)</t>
  </si>
  <si>
    <t>132 kV P.T.</t>
  </si>
  <si>
    <t>220 kV P.T.</t>
  </si>
  <si>
    <t>iii</t>
  </si>
  <si>
    <t>iv</t>
  </si>
  <si>
    <t>v</t>
  </si>
  <si>
    <t>185 Sq mm</t>
  </si>
  <si>
    <t>225 Sq mm</t>
  </si>
  <si>
    <t>240 Sq mm</t>
  </si>
  <si>
    <t>300 Sq mm</t>
  </si>
  <si>
    <t>400 Sq mm</t>
  </si>
  <si>
    <t>Battery Hydrometer</t>
  </si>
  <si>
    <t>Digital Multimeter Electronic Type</t>
  </si>
  <si>
    <t>Rubber Hand gloves 15 kV (Seamless)</t>
  </si>
  <si>
    <t>Thermometer (Wall Mounted)</t>
  </si>
  <si>
    <t>Portable drilling machine</t>
  </si>
  <si>
    <t>Megger 500 V</t>
  </si>
  <si>
    <t>Megger up to 2.5 kV</t>
  </si>
  <si>
    <t>Silica gel</t>
  </si>
  <si>
    <t>Bin CodeNo.</t>
  </si>
  <si>
    <t>25 kVA to 63 kVA</t>
  </si>
  <si>
    <t>63 kVA to 100 kVA</t>
  </si>
  <si>
    <t>100 kVA to 200 kVA</t>
  </si>
  <si>
    <t>11/0.4 kV 100 kVA X-mer (4-STAR)</t>
  </si>
  <si>
    <t>11/0.4 kV 200 kVA X-mer (4-STAR)</t>
  </si>
  <si>
    <t xml:space="preserve">R.S. Joist (175X85) mm 11 Mtr. Long i.e. 19.495 kg/mtr x 11 mtr = 214.44 kg x 4 No = 857.8 Kgs </t>
  </si>
  <si>
    <t>7130860032201</t>
  </si>
  <si>
    <t>7130860077103</t>
  </si>
  <si>
    <t>7130810026301</t>
  </si>
  <si>
    <t>Concreting of support @ 0.3 Cmt/pole, @ 0.2 Cmt/stay &amp; base padding @ 0.05 Cmt/pole</t>
  </si>
  <si>
    <t>7130200401003</t>
  </si>
  <si>
    <t>7130870013401</t>
  </si>
  <si>
    <t>7130211158904</t>
  </si>
  <si>
    <t>7130210809004</t>
  </si>
  <si>
    <t>7130407183901</t>
  </si>
  <si>
    <t>7130620609003</t>
  </si>
  <si>
    <t>7130620614003</t>
  </si>
  <si>
    <t>7130620625403</t>
  </si>
  <si>
    <t>7130620631603</t>
  </si>
  <si>
    <r>
      <t>COST SCHEDULE   C-7 (A-1)</t>
    </r>
    <r>
      <rPr>
        <b/>
        <sz val="14"/>
        <rFont val="Arial"/>
        <family val="2"/>
      </rPr>
      <t xml:space="preserve">             </t>
    </r>
  </si>
  <si>
    <t>11 kV Polymeric Pin insulator with Pin</t>
  </si>
  <si>
    <t xml:space="preserve">Earlier - 11 kV Pin Insulator </t>
  </si>
  <si>
    <t xml:space="preserve">11 kV G.I. Pins with Nuts </t>
  </si>
  <si>
    <t xml:space="preserve">H-Beam 152X152 mm 37.1 Kg/Mtr 11.0 Mtr Long </t>
  </si>
  <si>
    <t>LT 3 phase 4 Wire Aerial Bunched Cable of Size 3X25+1x25</t>
  </si>
  <si>
    <t>Distribution box 1 ph. 9 connectors along with 2 Nos. Steel Strap &amp; Buckles.</t>
  </si>
  <si>
    <t xml:space="preserve">Piercing connector suitable for 95- 16 sqmm to 10-2.5 sqmm. for street light and service connection. </t>
  </si>
  <si>
    <t xml:space="preserve">Piercing connector suitable for 95- 16 sqmm to 50-16 sqmm. cable for Distribution Box. </t>
  </si>
  <si>
    <t>Piercing connector suitable for 95- 16 sqmm to 95-16 sqmm. for Tee connection.</t>
  </si>
  <si>
    <t>Pre-Insulated Bimetallic crimping lugs for Transformer connector</t>
  </si>
  <si>
    <t>Earthing Coil for messenger wire</t>
  </si>
  <si>
    <t>Anchor sleeve for messenger wire</t>
  </si>
  <si>
    <t>Universal hook &amp; Bolts &amp; nuts</t>
  </si>
  <si>
    <t>Universal distribution connector</t>
  </si>
  <si>
    <t>Cable tie (UV protected black colour) for AB Cable</t>
  </si>
  <si>
    <t>10 Sq.mm, 4 Core</t>
  </si>
  <si>
    <t>16 Sq.mm, 4 Core</t>
  </si>
  <si>
    <t>25 Sq.mm, 4 Core</t>
  </si>
  <si>
    <t>(i) 25 kVA TRANSFORMER (4 STAR)</t>
  </si>
  <si>
    <t xml:space="preserve">H-BEAM 152x152 mm 37.1 Kg /Mtr 11.0 Mtr long i.e. 408.1 Kg/pole x 2 Nos = 816.2 Kgs  </t>
  </si>
  <si>
    <t xml:space="preserve">11 kV D.O. Fuse unit </t>
  </si>
  <si>
    <t>Concreting of supports @ 0.6 Cmt/pole &amp; @ 0.2 Cmt/Stay &amp; base padding @ 0.05 Cmt per pole</t>
  </si>
  <si>
    <t>Earthing set (Pipe earth as per drg. no.-G/008) (material + Services)</t>
  </si>
  <si>
    <t>LT Distribution box suitable for transformer with isolator on incoming side &amp; SPMCCB's on outgoing side</t>
  </si>
  <si>
    <t xml:space="preserve">Transport charges upto 50 Kms average lead from Area stores to construction camp inc. site transport  (Transport Sch T-1) </t>
  </si>
  <si>
    <t>Note (A) :- (1) All the rates are with considering price variation clause.</t>
  </si>
  <si>
    <t xml:space="preserve">                 (2) As per requirement 315 kVA Transformer may be used against 200 kVA schedule</t>
  </si>
  <si>
    <t>RELOCATION OF  25 / 63 / 100 kVA  11/0.4 kV  X-MER  S/S  USING  H- BEAM  POLE  AND  3.5  CORE  PVC  CABLE  [BASED  ON  COST SCHEDULE   C-7 (B-1) EXCEPT TRANSFORMER COST ]</t>
  </si>
  <si>
    <t xml:space="preserve">      </t>
  </si>
  <si>
    <t xml:space="preserve">H-BEAM 152x152 mm; 37.1 Kg /Mtr; 11.0 Mtr long i.e. 408.1 Kg/pole x 2 Nos = 816.2 Kgs  </t>
  </si>
  <si>
    <t>11 kV D.O. fuse &amp; LA mounting DC Cross arm (75x40 mm)</t>
  </si>
  <si>
    <t>(i) G.I. Pipe 40 mm</t>
  </si>
  <si>
    <t>COST SCHEDULE -- C-7 (B-1) B</t>
  </si>
  <si>
    <t>RENOVATION  OF  EXISTING  DISTRIBUTION  TRANSFORMERS</t>
  </si>
  <si>
    <t>315 kVA TRANSFORMER</t>
  </si>
  <si>
    <t>LT Distribution Box</t>
  </si>
  <si>
    <t>25 kVA</t>
  </si>
  <si>
    <t>315 kVA</t>
  </si>
  <si>
    <t>Bimetallic clamp for Distribution Transformer (HT)</t>
  </si>
  <si>
    <t>Bimetallic clamp for Distribution Transformer (LT)</t>
  </si>
  <si>
    <t>T-Clamp for Dog Conductor.</t>
  </si>
  <si>
    <t>T-Clamp for Raccoon Conductor.</t>
  </si>
  <si>
    <t>T-Clamp for Panther Conductor.</t>
  </si>
  <si>
    <t>Jointing sleeves for Weasel, Squirrel &amp; Rabbit Conductor.</t>
  </si>
  <si>
    <t>Jointing sleeves for Panther Conductor.</t>
  </si>
  <si>
    <t>Caping of RCC pipe on both end of pipe with Concreting and Bricks work</t>
  </si>
  <si>
    <t>Labour Charges as per Schedule CL-10  (Schedule is for 1 km line, same has been revised as per 50 Mtrs.)</t>
  </si>
  <si>
    <r>
      <t>Total  (Round Off)</t>
    </r>
    <r>
      <rPr>
        <sz val="11"/>
        <rFont val="Arial"/>
        <family val="2"/>
      </rPr>
      <t xml:space="preserve"> </t>
    </r>
  </si>
  <si>
    <t xml:space="preserve">Grand Total </t>
  </si>
  <si>
    <t>Grand Total  (Round Off)</t>
  </si>
  <si>
    <t xml:space="preserve">COST SCHEDULE  C-13 </t>
  </si>
  <si>
    <t>SINGLE  POLE  MOUNTED  LOW  CAPACITY  SINGLE  PHASE / THREE  PHASE  11/0.4  kV  DISTRIBUTION  TRANSFORMER SUB-STATION</t>
  </si>
  <si>
    <t>Bin Code No</t>
  </si>
  <si>
    <t>5 kVA Single Phase</t>
  </si>
  <si>
    <t>10 kVA Single Phase</t>
  </si>
  <si>
    <t>16 kVA Three Phase</t>
  </si>
  <si>
    <t>Transformer Single Phase/Three Phase</t>
  </si>
  <si>
    <t>200 Kg 8.0 Meter long PCC Pole</t>
  </si>
  <si>
    <t>11 kV 'V' Cross arm with clamp (instead of DC Cross arm)</t>
  </si>
  <si>
    <t>11 kV Top clamp with cleat</t>
  </si>
  <si>
    <t>11 kV Strain Hardware</t>
  </si>
  <si>
    <t xml:space="preserve">11 kV D.O. Fuse and L.A. mounting DC channel size 75x40x6 mm length 860 mm  </t>
  </si>
  <si>
    <t>11 kV D.O.Fuse unit for Single Phase  X-mer</t>
  </si>
  <si>
    <t>DO Fuse unit for Three phase X-mer</t>
  </si>
  <si>
    <t>MS angle for transformer clamping set size 50x50x6 mm</t>
  </si>
  <si>
    <t xml:space="preserve">(ii) Stay wire 7/10 SWG @ 5.5 Kg per stay </t>
  </si>
  <si>
    <t xml:space="preserve">(iii) Stay clamp </t>
  </si>
  <si>
    <t>Concreting of supports @ 0.5 Cmt per pole and @ 0.2 Cmt per stay &amp; base padding @ 0.05 Cmt/pole</t>
  </si>
  <si>
    <t>Cement @ 208 kg per Cmt</t>
  </si>
  <si>
    <t>Transformer mounting DC Cross arm size 65x65x6 channel length 800 mm</t>
  </si>
  <si>
    <t>Set.</t>
  </si>
  <si>
    <t>Bracket angle for Transformer mounting supports size 50x50x6 mm length 645 mm</t>
  </si>
  <si>
    <t>Earthing set (pipe earth as per drawing)</t>
  </si>
  <si>
    <t xml:space="preserve">(i) G.I. Pipe 40 mm </t>
  </si>
  <si>
    <t>Red Oxide Paint</t>
  </si>
  <si>
    <t xml:space="preserve">(i) 16x40 mm   </t>
  </si>
  <si>
    <t>(ii) 16x65 mm</t>
  </si>
  <si>
    <t>(iii) 16x140 mm</t>
  </si>
  <si>
    <t>(iv) 16x200 mm</t>
  </si>
  <si>
    <t>TPN switch fuse unit (32 Amps)</t>
  </si>
  <si>
    <t xml:space="preserve">GI pipe size 1 inch. for movement of LT cable from X-mer </t>
  </si>
  <si>
    <t xml:space="preserve">XLPE insulated 2 core 16 sq mm  armoured cable </t>
  </si>
  <si>
    <t>(b)</t>
  </si>
  <si>
    <t>XLPE insulated 4 core 16 sq mm armoured cable for 3 phase X-mer</t>
  </si>
  <si>
    <t xml:space="preserve">LT Feeder Piller box 1 phase 8 Way for distribution of service connection  </t>
  </si>
  <si>
    <t>Back filling of poles with boulders @  0.3 Cmt per pole.</t>
  </si>
  <si>
    <t>Service in lieu of concreting metal and sand</t>
  </si>
  <si>
    <t>Transport charges upto 50 Kms. Average lead from area store to const. camping site transport</t>
  </si>
  <si>
    <t xml:space="preserve">Cost per Km. for Non-guaranteed works </t>
  </si>
  <si>
    <t xml:space="preserve">Cost per Km. for Non-guaranteed works (Rounded off) </t>
  </si>
  <si>
    <t xml:space="preserve">COST  SCHEDULE  C-14 </t>
  </si>
  <si>
    <t>PLINTH MOUNTED 11/0.4 kV OUTDOOR SUB-STATION</t>
  </si>
  <si>
    <t>New SAP Bin code No.</t>
  </si>
  <si>
    <t>63 kVA X-MER</t>
  </si>
  <si>
    <t>100 kVA X-MER</t>
  </si>
  <si>
    <t>200 kVA X-MER</t>
  </si>
  <si>
    <t xml:space="preserve">RS Joist (175X85) mm 11 Mtr Long i.e. 19.495 Kg/mtr x 11 mtr. = 214.44 kg x 2 No = 428.89 Kgs </t>
  </si>
  <si>
    <t xml:space="preserve">H-BEAM 152x152 mm 37.1 Kg /Mtr 13.0 Mtr long i.e. 482.3 Kg/pole x 2 Nos = 964.6 Kgs  </t>
  </si>
  <si>
    <t xml:space="preserve">Transformer 11/0.4 kV (Conventional) </t>
  </si>
  <si>
    <t>100 kVA (4-STAR)</t>
  </si>
  <si>
    <t>200 kVA (4-STAR)</t>
  </si>
  <si>
    <t>DC Cross arm 100x50 mm 8' Centre</t>
  </si>
  <si>
    <t>11 kV DO fuse &amp; LA mounting DC cross arm (75 x 40 mm)</t>
  </si>
  <si>
    <t>11 kV DO Fuse Unit</t>
  </si>
  <si>
    <t>M.S. Angle 50x50x6 mm</t>
  </si>
  <si>
    <t>(ii) Stay wire 7/10 SWG (7.5 Kg each)</t>
  </si>
  <si>
    <t>(iii) Stay clamp for R.S.Joist</t>
  </si>
  <si>
    <t>(iv) Stay clamp for H-Beam</t>
  </si>
  <si>
    <t xml:space="preserve">Concreting of support [0.3 Cmt per RSJ, 0.5 Cmt per H-Beam, 0.2 Cmt per stay, 9 cub.m. (1.5x1.5x4 m) for  X-mer plinth] </t>
  </si>
  <si>
    <t>(iii) Stay Clamp for "H" Beam</t>
  </si>
  <si>
    <t>Suspension H/W suitable for Panther Conductor.</t>
  </si>
  <si>
    <t>Power Transformer 1600 kVA</t>
  </si>
  <si>
    <t xml:space="preserve">  All the rates are with considering price variation clause.</t>
  </si>
  <si>
    <t>SET OF 3 O.C. RELAYS INSTANTANEOUS HIGH</t>
  </si>
  <si>
    <t>SET OF 2 O.C. +1 EARTH FAULT RELAY WITHO</t>
  </si>
  <si>
    <t>TESTER NEON/PENCIL/SCREW DRIVER</t>
  </si>
  <si>
    <t>THERMOMETER (WALL MOUNTED)</t>
  </si>
  <si>
    <t>6 TO 16 AMPS LT SINGLE PHASE MCB</t>
  </si>
  <si>
    <t>160AMPS(10 KA TP) MOULDED CASE CIRCUIT B</t>
  </si>
  <si>
    <t>LT ROBUST POLE FUSE UNIT</t>
  </si>
  <si>
    <t>L.T. Distribution Box for 63 kVA X'mer (200 A, isolator &amp; 6 SP MCCB of 100 A)</t>
  </si>
  <si>
    <t>L.T. Distribution Box for 100 kVA X'mer (200 A, isolator &amp; 6 SP MCCB of 200 A)</t>
  </si>
  <si>
    <t>L.T. Distribution Box for 200 kVA X'mer (400 A, isolator &amp; 6 SP MCCB of 120A)</t>
  </si>
  <si>
    <t>L.T. Distribution Box for 315 kVA X'mer (600 A, isolator &amp; 9 SP MCCB of 160A)</t>
  </si>
  <si>
    <t>Danger Board</t>
  </si>
  <si>
    <t>Labour Charges</t>
  </si>
  <si>
    <t>Ckt Km</t>
  </si>
  <si>
    <t>Dismantling Charges</t>
  </si>
  <si>
    <t xml:space="preserve">Binding wire and tape </t>
  </si>
  <si>
    <t>Municipality Charges for reinstatement of Road as per Nagar Nigam</t>
  </si>
  <si>
    <t>Transportation Charges as per Schedule</t>
  </si>
  <si>
    <t xml:space="preserve">11 kV G.I. Pin </t>
  </si>
  <si>
    <t>ACSR conductor RABBIT with 3% sag</t>
  </si>
  <si>
    <t>ACSR conductor Weasel with 3% sag</t>
  </si>
  <si>
    <t xml:space="preserve">Jointing sleeves suitable for 80 Sq mm. Al. Eq. ACSR Raccoon Conductor  </t>
  </si>
  <si>
    <t xml:space="preserve">(i) Stay set 16 mm </t>
  </si>
  <si>
    <t xml:space="preserve">(ii) Stay Wire 7/10 SWG @ 5.5 Kg/Stay </t>
  </si>
  <si>
    <t xml:space="preserve">(iii) Stay Clamp </t>
  </si>
  <si>
    <t>Concreting of stay @ 0.2 Cmt/stay &amp; 0.05 Cmt base pad/pole</t>
  </si>
  <si>
    <t>(i) Cement @ 208 Kg/Cmt</t>
  </si>
  <si>
    <t>Barbed Wire [@ 2 Kg/Pole]</t>
  </si>
  <si>
    <t xml:space="preserve">Binding wire and tape   </t>
  </si>
  <si>
    <t>MS Nuts and Bolts</t>
  </si>
  <si>
    <t>Guarding :-</t>
  </si>
  <si>
    <t>(i) 11 kV Guarding Channel 100x50 mm set</t>
  </si>
  <si>
    <t>(iv) Stay Wire 7/10 SWG @ 5.5 Kg/Stay</t>
  </si>
  <si>
    <t xml:space="preserve">(v) Stay set 16 mm </t>
  </si>
  <si>
    <t>(vi) I- Bolt Big size</t>
  </si>
  <si>
    <t>Back filling of poles with boulders @ 0.3 CMT per pole.</t>
  </si>
  <si>
    <t>Labour charges as per Sch No.- CL-1</t>
  </si>
  <si>
    <t xml:space="preserve">Transport charges upto 50 Kms average lead from Area stores to construction camp inc. site transport (Transport Sch T-1) </t>
  </si>
  <si>
    <t>Note: - Schedule C-2 is to be supplemented with every 1.0 Km. 11 kV line.</t>
  </si>
  <si>
    <t>COST SCHEDULE  C-2</t>
  </si>
  <si>
    <t xml:space="preserve">11 kV DP STRUCTURE ON PCC POLE 140 KG 8 METER LONG (TO BE SUPPLEMENTED WITH EVERY 1.0 Kms OF LINE) </t>
  </si>
  <si>
    <t>DC Cross arm of 100x50 mm channel (4'/1.2 Mtr. Centre)</t>
  </si>
  <si>
    <t>11 kV Disc Insulator</t>
  </si>
  <si>
    <t>11 kV Strain H.W. fitting</t>
  </si>
  <si>
    <t>11 kV G.I.Pin</t>
  </si>
  <si>
    <t xml:space="preserve">Horizontal &amp; Cross Bracing 4' Center with set of 4 back Clamps </t>
  </si>
  <si>
    <t>(i) M.S.Angle 65x65x6 mm</t>
  </si>
  <si>
    <t>(ii) Back Clamp for Pole</t>
  </si>
  <si>
    <t>(ii) Stay Wire 7/10 SWG @ 5.5 Kg per Stay</t>
  </si>
  <si>
    <t>(iii) Stay Clamp</t>
  </si>
  <si>
    <t>Cost of X-mer (Cost of X-mer to be taken at the time of procurement i.e before 10 years)</t>
  </si>
  <si>
    <t>(i) 25 kVA</t>
  </si>
  <si>
    <t>(ii) 63 kVA</t>
  </si>
  <si>
    <t>(iii) 100 kVA</t>
  </si>
  <si>
    <t xml:space="preserve">Material Code </t>
  </si>
  <si>
    <t>Description</t>
  </si>
  <si>
    <t>unit</t>
  </si>
  <si>
    <t>11 kV Polymer type Lightning Arrestor</t>
  </si>
  <si>
    <t>Earlier - 11 kV Gapless type LA</t>
  </si>
  <si>
    <t>I-Bolt (big size)</t>
  </si>
  <si>
    <t>Foundation bolt</t>
  </si>
  <si>
    <t>Through Bolt</t>
  </si>
  <si>
    <t>Stay clamp for 140 kG PCC Pole</t>
  </si>
  <si>
    <t>Stay clamp HT per pair</t>
  </si>
  <si>
    <t>Strain Plate</t>
  </si>
  <si>
    <t>H-BEAM 152x152 mm 37.1 Kg /Mtr 11.0 Mtr long i.e. 408.1 Kg/pole x 29 Nos = 11835 Kgs</t>
  </si>
  <si>
    <t>200 Kg 9.0 Meter long PCC Pole</t>
  </si>
  <si>
    <t>11 kV  3 phase Aerial Bunched Cable 3x35+35 sqmm (incl. 6% sag)</t>
  </si>
  <si>
    <t>11 kV  3 phase Aerial Bunched Cable 3x70+70 sqmm (incl. 6% sag)</t>
  </si>
  <si>
    <t>11 kV Termination kit 35-70 sqmm</t>
  </si>
  <si>
    <t>11 kV AB Cable straight through jointing kit suitable for 35-70 sqmm</t>
  </si>
  <si>
    <t>Dead-end Assembly (Suitable for all size cable)</t>
  </si>
  <si>
    <t>Straight line Suspension Assembly (Suitable for all size cable)</t>
  </si>
  <si>
    <t>Eye Hook</t>
  </si>
  <si>
    <t xml:space="preserve">Stay set 16 mm </t>
  </si>
  <si>
    <t>Stay wire 7/10 SWG 10 kg/stay</t>
  </si>
  <si>
    <t>Earth spike</t>
  </si>
  <si>
    <t xml:space="preserve">G.I. Wire 6 SWG </t>
  </si>
  <si>
    <t>Pole Clamp</t>
  </si>
  <si>
    <t>Pad Connector</t>
  </si>
  <si>
    <t>Concreting of Pole @ 0.65 Cmt per pole and 0.2 Cmt per stay</t>
  </si>
  <si>
    <t xml:space="preserve">Labour charges as per Sch No. CL-3(B) </t>
  </si>
  <si>
    <t>0.11</t>
  </si>
  <si>
    <t>Total Cost per Km including labour charges</t>
  </si>
  <si>
    <t>Total Cost (Round off)</t>
  </si>
  <si>
    <t>COST SCHEDULE  C-3 (C)</t>
  </si>
  <si>
    <t>Cable separator in RCC pipe with Angle Cross of 50x50x6 mm Angle @ 2 No. in one pipe</t>
  </si>
  <si>
    <t>G.I. Pipe 200 mm for 400 sq.mm Cable of dia. 105 mm</t>
  </si>
  <si>
    <t>Black Cambric tape 25 mm wide 7 mm thick and in rolls of 50 Mtr.</t>
  </si>
  <si>
    <t>PVC lnsulation Tapes 19 mm wide and in rolls of 10 Mtrs</t>
  </si>
  <si>
    <t>Grey Enamel Paint smoke/battle ship</t>
  </si>
  <si>
    <t>Cotton Tapes 19 mm wide and in rolls of 50 Mtrs</t>
  </si>
  <si>
    <t>Cotton Waste</t>
  </si>
  <si>
    <t>Hack saw blade 300x12.5 mm</t>
  </si>
  <si>
    <t>Monoplast</t>
  </si>
  <si>
    <t>Bitumen compound</t>
  </si>
  <si>
    <t>Providing, Fabricating and fixing 8 SWG Chain link fencing (TATA Make) 75 x 75 mm Size Gl Chain link Mesh fencing made out of 65 x 65 x 6 mm MS angle as per drawing no. T&amp;D/DRG/MISC/2 Revision -2</t>
  </si>
  <si>
    <t>Sq.mtr</t>
  </si>
  <si>
    <t>Pad Connector (for Panther conductor)</t>
  </si>
  <si>
    <t>Strain Plate (50x6 mm) for 11 kV</t>
  </si>
  <si>
    <t>ITEMS DELETED IN 2015-16</t>
  </si>
  <si>
    <t>COST  SCHEDULE C-3 (B)</t>
  </si>
  <si>
    <t>Earlier- 11 kV Pin Insulator</t>
  </si>
  <si>
    <t>200 kVA (150 sq mm)</t>
  </si>
  <si>
    <t>200 kVA (300 sq mm)</t>
  </si>
  <si>
    <t>315 kVA (150 sq mm)</t>
  </si>
  <si>
    <t>315 kVA (300 sq mm)</t>
  </si>
  <si>
    <t>Earthing set (Pipe earth as per drg no. G/008) (Material + services)</t>
  </si>
  <si>
    <t>(i) GI Pipe 40 mm</t>
  </si>
  <si>
    <t>(ii) GI Wire 8 SWG</t>
  </si>
  <si>
    <t>Service in lieu of earthing coal &amp; sand</t>
  </si>
  <si>
    <t>Nos</t>
  </si>
  <si>
    <t>Labour charges as per Sch. CL-7 (B-1)B</t>
  </si>
  <si>
    <t>11/0.4 kV OUT DOOR SUB-STATION (USING H-BEAM POLE FOR 25 / 63 / 100 / 200 kVA TRANSFORMER AND SINGLE CORE CABLE)</t>
  </si>
  <si>
    <t>Service in lieu of Earthing Coal &amp; Sand etc.</t>
  </si>
  <si>
    <t>Labour Charges as per Sch CL-3</t>
  </si>
  <si>
    <t xml:space="preserve">Transport charges upto 50 Kms averg. lead from Area stores to construction camp inc. site transport (Transport Sch T-1) </t>
  </si>
  <si>
    <t>COST SCHEDULE   C-9</t>
  </si>
  <si>
    <t>1 KM OF 11 kV LINE ON  H-BEAM 152x152 MM  37.1 Kg /MTR. 13.0 MTR. USING RACCOON / DOG CONDUCTOR MAXIMUM SPAN 80 MTR.</t>
  </si>
  <si>
    <t xml:space="preserve">H-Beam using Raccoon conductor </t>
  </si>
  <si>
    <t xml:space="preserve">H-Beam using Dog conductor </t>
  </si>
  <si>
    <t xml:space="preserve">H-BEAM 152x152 mm 37.1 Kg /Mtr 13.0 Mtr long i.e. 482.3 Kg/pole x 12 Nos = 5788 Kgs  </t>
  </si>
  <si>
    <t>2.5 Sqmm.</t>
  </si>
  <si>
    <t>Per Mtr.</t>
  </si>
  <si>
    <t>LT 3 phase 4 Wire Aerial Bunched Cable of Size 3X16+1x25</t>
  </si>
  <si>
    <t>COST SCHEDULE   C-8</t>
  </si>
  <si>
    <t>60 Kg/Mtr 13.0 Mtr Long Rail pole for Raccoon conductor i.e. 780 Kg/pole x 12 Nos = 9360 Kgs</t>
  </si>
  <si>
    <t xml:space="preserve">ACSR Raccoon Conductor with 3% sag </t>
  </si>
  <si>
    <t xml:space="preserve">ACSR Dog Conductor with 3% sag </t>
  </si>
  <si>
    <t>Concreting of support @ 0.6 Cmt/pole, @ 0.3 Cmt/stay &amp; base padding @ 0.05 Cmt /pole</t>
  </si>
  <si>
    <t>Labour charges as per Sch No.- CL-4</t>
  </si>
  <si>
    <t>70 Sq.mm, 3.5 Core</t>
  </si>
  <si>
    <t>150 Sq.mm, 3.5 Core</t>
  </si>
  <si>
    <t>300 Sq.mm, 3.5 Core</t>
  </si>
  <si>
    <t>400 Sq.mm, 3.5 Core</t>
  </si>
  <si>
    <t>3x400 Sq.mm.</t>
  </si>
  <si>
    <t>95 Sq.mm</t>
  </si>
  <si>
    <t>120 Sq.mm</t>
  </si>
  <si>
    <t>240 Sq.mm</t>
  </si>
  <si>
    <t>3x70 Sq.mm</t>
  </si>
  <si>
    <t>3x95 Sq.mm</t>
  </si>
  <si>
    <t>3x150 Sq.mm</t>
  </si>
  <si>
    <t>3x240 Sq. mm</t>
  </si>
  <si>
    <t>3x400 Sq. mm</t>
  </si>
  <si>
    <t>Battery charger</t>
  </si>
  <si>
    <t>Battery (Low Maintenance SAN controller)</t>
  </si>
  <si>
    <t>CFL 7 Watts</t>
  </si>
  <si>
    <t>CFL 11 Watts</t>
  </si>
  <si>
    <t>CFL 15 Watts</t>
  </si>
  <si>
    <t>CFL 20 Watts</t>
  </si>
  <si>
    <t>CFL 23 Watts</t>
  </si>
  <si>
    <t xml:space="preserve">125 Watt Mercury Vapour </t>
  </si>
  <si>
    <t>COST SCHEDULE   C-7 (B-1)  A</t>
  </si>
  <si>
    <t>COST SCHEDULE  C-7 (B-2)</t>
  </si>
  <si>
    <t>Mtr.</t>
  </si>
  <si>
    <t>Ltr.</t>
  </si>
  <si>
    <t xml:space="preserve"> </t>
  </si>
  <si>
    <t>16x40 mm</t>
  </si>
  <si>
    <t>LS</t>
  </si>
  <si>
    <t>Km</t>
  </si>
  <si>
    <t xml:space="preserve">Strain Plate </t>
  </si>
  <si>
    <t>i</t>
  </si>
  <si>
    <t>600 mm</t>
  </si>
  <si>
    <t>900 mm</t>
  </si>
  <si>
    <t>GI bend 200 mm</t>
  </si>
  <si>
    <t>Transportation Charges</t>
  </si>
  <si>
    <t>Cost per 50 Mtr for non guaranteed works</t>
  </si>
  <si>
    <t>Labour Charges as per Schedule AL-5</t>
  </si>
  <si>
    <t>PARTICULARS</t>
  </si>
  <si>
    <t>Unit</t>
  </si>
  <si>
    <t>Qnty</t>
  </si>
  <si>
    <t>No</t>
  </si>
  <si>
    <t>--</t>
  </si>
  <si>
    <t>Cmt</t>
  </si>
  <si>
    <t xml:space="preserve">Red Oxide Paint </t>
  </si>
  <si>
    <t>Ltr</t>
  </si>
  <si>
    <t xml:space="preserve">Aluminium Paint </t>
  </si>
  <si>
    <t>Kg</t>
  </si>
  <si>
    <t>M.S. Nuts and Bolts</t>
  </si>
  <si>
    <t>ii</t>
  </si>
  <si>
    <t>Note:</t>
  </si>
  <si>
    <t>All the rates are with considering price variation clause.</t>
  </si>
  <si>
    <t>Net cost of augmentation</t>
  </si>
  <si>
    <t>Net cost of augmentation (R/Off)</t>
  </si>
  <si>
    <t>11/0.4 kV OUT DOOR SUB-STATION (16 kVA TRANSFORMER)</t>
  </si>
  <si>
    <t>16 kVA, 11/.4 kV X' MER</t>
  </si>
  <si>
    <t>Transformer 11/0.4 kV 16 kVA (4-STAR) Aluminium Wound</t>
  </si>
  <si>
    <t>140 Kg 8.0 Mtr. long PCC Pole</t>
  </si>
  <si>
    <t>DC Cross arm of 100x50x6 mm 8' Center 2.7 Mtr. long</t>
  </si>
  <si>
    <t>11 kV Strain H/W</t>
  </si>
  <si>
    <t>11 kV D.O. Fuse &amp; LA mounting DC Cross arm (75x40 mm)</t>
  </si>
  <si>
    <t>Concreting of supports @ 0.3 Cmt/pole &amp; @ 0.2 Cmt/Stay &amp; base pad @ 0.05 Cmt/pole</t>
  </si>
  <si>
    <t>Transformer belting with 50x50x6 mm angle with 2 Cross fixing channel.</t>
  </si>
  <si>
    <t xml:space="preserve">TPN switch fuse unit (32 Amps) </t>
  </si>
  <si>
    <t>16 Sqmm single core PVC insulated Cable</t>
  </si>
  <si>
    <t>CT operated electronic static meter 100/5 Amp.</t>
  </si>
  <si>
    <t>LT CT 50/5 Amp.</t>
  </si>
  <si>
    <t>Meter Box (GI plain sheet) for 3 Phase LT CT operated meter.</t>
  </si>
  <si>
    <t>Copper control cable 4 core 2.5 sq.mm  Unarmoured</t>
  </si>
  <si>
    <t>Note:  (1)  All the rates are with considering price variation clause.</t>
  </si>
  <si>
    <t>11/0.4 kV OUT DOOR SUB-STATION (10 kVA TRANSFORMER)</t>
  </si>
  <si>
    <t>10 kVA , 11/.4 kV X'mer</t>
  </si>
  <si>
    <t>Transformer 11/0.4 kV 10 kVA</t>
  </si>
  <si>
    <t>ROUTE &amp; JOINT INDICATING STONE WITH M.S.</t>
  </si>
  <si>
    <t>Aluminium Paint.</t>
  </si>
  <si>
    <t>Red Oxide Paint.</t>
  </si>
  <si>
    <t>LT AB CABLE 3X70+1X16 (STREET LIGHT)+1X5</t>
  </si>
  <si>
    <t>ISI MARKED CABLE ALU 1CORE 70 SQMM 1100V</t>
  </si>
  <si>
    <t>ISI MARKED CABLE ALU 1CORE 120 SQMM 1100</t>
  </si>
  <si>
    <t>ISI MARKED CABLE ALU 1CORE 35 SQMM 1100V</t>
  </si>
  <si>
    <t>ISI MARKED CABLE ALU 1CORE 50 SQMM 1100V</t>
  </si>
  <si>
    <t>1.1KV LT AB CABLE 3X16+1X16+1X25 SQMM</t>
  </si>
  <si>
    <t>1.1KV LT AB CABLE 3X25+1X16+1X25 SQMM</t>
  </si>
  <si>
    <t>1.1KV LT AB CABLE 3X35+1X16+1X25 SQMM</t>
  </si>
  <si>
    <t>11KV PVC INSULATED 2.5 SQMM TWIN CORE SI</t>
  </si>
  <si>
    <t>11KV PVC INSULATED 6 SQMM TWIN CORE SING</t>
  </si>
  <si>
    <t>11KV PVC INSULATED 10 SQMM FOUR CORE THR</t>
  </si>
  <si>
    <t>11KV PVC INSULATED 150SQMM SINGLE CORE X</t>
  </si>
  <si>
    <t>11KV PVC INSULATED 16SQMM 2 CORE ARMOURE</t>
  </si>
  <si>
    <t>11KV PVC INSULATED 10SQMM 4 CORE ARMOURE</t>
  </si>
  <si>
    <t>33KV A.B. XLPE CABLE 3X95 SQMM</t>
  </si>
  <si>
    <t>33KV A.B. XLPE CABLE 3X185 SQMM</t>
  </si>
  <si>
    <t>33KV A.B. XLPE CABLE 3X240 SQMM</t>
  </si>
  <si>
    <t>11KV ABC TERMINATION KIT 35-70 SQMM</t>
  </si>
  <si>
    <t>CABLE TIE FOR AB CABLE (UV PROTECTED BLA</t>
  </si>
  <si>
    <t>Jointing kit 33KV 3x400sqmm XLPE cable</t>
  </si>
  <si>
    <t>1.1KV STRAIGHT THROUGH JOINTING KIT FOR</t>
  </si>
  <si>
    <t>33KV END TERMINAL JOINTING KIT FOR 240SQ</t>
  </si>
  <si>
    <t>3X95 SQMM 11KV HEAT SHRINKABLE TYPE JOIN</t>
  </si>
  <si>
    <t>3X150 SQMM 11KV HEAT SHRINKABLE TYPE JOI</t>
  </si>
  <si>
    <t>3X240 SQMM 11KV HEAT SHRINKABLE TYPE JOI</t>
  </si>
  <si>
    <t>3X400 SQMM 11KV HEAT SHRINKABLE TYPE JOI</t>
  </si>
  <si>
    <t>3X95 SQMM 11KV HEAT SHRINKABLE INDOOR TY</t>
  </si>
  <si>
    <t>3X240 SQMM 11KV HEAT SHRINKABLE INDOOR T</t>
  </si>
  <si>
    <t>3X400 SQMM 11KV HEAT SHRINKABLE INDOOR T</t>
  </si>
  <si>
    <t>MARSHELLING BOX</t>
  </si>
  <si>
    <t>10 SQMM ALUMINIUM END TERMINALS (LUGS)</t>
  </si>
  <si>
    <t>Earthing coil (Coil of 115 turns of 50 mm dia. &amp; 2.5 Mtrs lead of 4.0 mm GI wire)</t>
  </si>
  <si>
    <t>Barbed wire</t>
  </si>
  <si>
    <t>52 kgs per mtr/105 lbs yard</t>
  </si>
  <si>
    <t>MT</t>
  </si>
  <si>
    <t>60 kgs per mtr</t>
  </si>
  <si>
    <t xml:space="preserve"> 37.1 Kg/Mtr.; 13 Mtr. Length</t>
  </si>
  <si>
    <t xml:space="preserve"> 37.1 Kg/Mtr.; 11 Mtr. Length</t>
  </si>
  <si>
    <t>175 x 85 mm</t>
  </si>
  <si>
    <t>125 x 70 mm</t>
  </si>
  <si>
    <t>140 Kg; 8.0 Mtr long</t>
  </si>
  <si>
    <t>Km.</t>
  </si>
  <si>
    <t>16 Sq.mm.</t>
  </si>
  <si>
    <t>KM</t>
  </si>
  <si>
    <t>50 Sq.mm.</t>
  </si>
  <si>
    <t>70 Sq.mm</t>
  </si>
  <si>
    <t>150 Sq.mm</t>
  </si>
  <si>
    <t>300 Sq.mm</t>
  </si>
  <si>
    <t>400 Sq.mm</t>
  </si>
  <si>
    <t>Earlier- 11 kV Pin insulator</t>
  </si>
  <si>
    <t>Transformer mounting Cross arm 100x50 mm channel.</t>
  </si>
  <si>
    <t>Single Core cable</t>
  </si>
  <si>
    <t xml:space="preserve">16 Sqmm </t>
  </si>
  <si>
    <t xml:space="preserve">35 Sqmm </t>
  </si>
  <si>
    <t xml:space="preserve">50 Sqmm </t>
  </si>
  <si>
    <t>Labour charges as per Sch. CL-3</t>
  </si>
  <si>
    <t>Cost per S/s for non-guaranteed works (R/off)</t>
  </si>
  <si>
    <t>Jointing sleeve for Raccoon Conductor.</t>
  </si>
  <si>
    <t>Jointing sleeve for Dog Conductor.</t>
  </si>
  <si>
    <t>Bimetallic clamp for Power Transformer</t>
  </si>
  <si>
    <t>Bimetallic clamp for VCB</t>
  </si>
  <si>
    <t>Bimetallic clamp for CT-PT Unit</t>
  </si>
  <si>
    <t>ITEMS REMOVED  FROM SoR 2015-16</t>
  </si>
  <si>
    <t>NEW COLUMN ADDED</t>
  </si>
  <si>
    <t>2015-16</t>
  </si>
  <si>
    <t>M.S.Flat (50x6) mm</t>
  </si>
  <si>
    <t xml:space="preserve">Way leave charges payable to Railway including supervision </t>
  </si>
  <si>
    <t>Cable tie (UV protected black colour) for AB Cable (at every two meter)</t>
  </si>
  <si>
    <t>End terminating jointing kit for 240 sqmm XLPE cable</t>
  </si>
  <si>
    <t>AB Switch with complete fitting 11 KV</t>
  </si>
  <si>
    <t>AB SWITCH WITH COMPLETE FITTING. 33 KV</t>
  </si>
  <si>
    <t>DO fuse units 11KV</t>
  </si>
  <si>
    <t>D.O. FUSE UNITS 33 KV</t>
  </si>
  <si>
    <t>ISOLATORS COMPLETE SET11 KV; 600 Amps.</t>
  </si>
  <si>
    <t>33 KV Isolator 800A without earth switch</t>
  </si>
  <si>
    <t>METER MVAR 50-0-50 32 CTR-400/1,PTR-132</t>
  </si>
  <si>
    <t>MOULDED CASE CIRCUIT BREAKER 250/300A</t>
  </si>
  <si>
    <t>11 KV VCB without control panel &amp; CT's.</t>
  </si>
  <si>
    <t>33KV VCB FOR 30 VOLT DC</t>
  </si>
  <si>
    <t>DISTRIBUTION BOX 1 PH 4 CONNECTOR</t>
  </si>
  <si>
    <t>DISTRIBUTION BOX 1 PH 9 CONNECTOR</t>
  </si>
  <si>
    <t>DISTRIBUTION BOX 3 PH 2 CONNECTOR</t>
  </si>
  <si>
    <t>DISTRIBUTION BOX 3 PH 4 CONNECTOR</t>
  </si>
  <si>
    <t>SPRING LOADED DIST. BOX FOR SERVICE CONN</t>
  </si>
  <si>
    <t>DISTRIBUTION BOX FOR MCCB TYPE 63 KVA TR</t>
  </si>
  <si>
    <t>DISTRIBUTION BOX FOR MSEB TYPE 100 KVA T</t>
  </si>
  <si>
    <t>DISTRIBUTION BOX FOR 200KVA TRANSFORMER</t>
  </si>
  <si>
    <t>DISTRIBUTION BOX FOR 315 KVA XMER WITH F</t>
  </si>
  <si>
    <t>33KV CONTROL &amp; RELAY PANEL- FEEDER CONTR</t>
  </si>
  <si>
    <t>33KV CONTROL &amp; RELAY PANEL- TRANSFORMER</t>
  </si>
  <si>
    <t>11KV CONTROL &amp; RELAY PANEL- FEEDER CONTR</t>
  </si>
  <si>
    <t>11KV CONTROL &amp; RELAY PANEL- TRANSFORMER</t>
  </si>
  <si>
    <t>11KV MULTICIRCUIT(2F) CONTROL PANNELS (S</t>
  </si>
  <si>
    <t>11KV MULTICIRCUIT ONE TRANSFORMER &amp; ONE</t>
  </si>
  <si>
    <t>33KV MULTICIRCUIT ONE TRANSFORMER &amp; ONE</t>
  </si>
  <si>
    <t>FIBER GLASS DISCHARGE ROD</t>
  </si>
  <si>
    <t>PLIER COMBINATION SIDE CUTTING 200 MM</t>
  </si>
  <si>
    <t>SCREW DRIVER 250MM</t>
  </si>
  <si>
    <t>SCREW DRIVER 200MM</t>
  </si>
  <si>
    <t xml:space="preserve"> Cement @ 208 Kg/Cmt</t>
  </si>
  <si>
    <t>Earthing set pipe carth</t>
  </si>
  <si>
    <t>M.S. Nuts &amp; Bolts</t>
  </si>
  <si>
    <t xml:space="preserve">16x40 mm </t>
  </si>
  <si>
    <t>PVC insulated 3.5 Core Cable</t>
  </si>
  <si>
    <t>70 sqmm</t>
  </si>
  <si>
    <t>150 sqmm</t>
  </si>
  <si>
    <t>300 sqmm</t>
  </si>
  <si>
    <t>LT Distribution Box for X-mer</t>
  </si>
  <si>
    <t>Stay Clamp for (i) R.S.Joist 175x85 mm</t>
  </si>
  <si>
    <t>(ii) Stay clamp for H-Beam</t>
  </si>
  <si>
    <t>11 kV AB Switch</t>
  </si>
  <si>
    <t>ACSR Conductor Rabbit</t>
  </si>
  <si>
    <t>Labour Charges as per Sch. CL-9.</t>
  </si>
  <si>
    <r>
      <t xml:space="preserve">Transportation Charges  </t>
    </r>
    <r>
      <rPr>
        <sz val="12"/>
        <rFont val="Rupee"/>
        <family val="0"/>
      </rPr>
      <t>`</t>
    </r>
  </si>
  <si>
    <t>COST SCHEDULE  C-15</t>
  </si>
  <si>
    <t>SCHEDULE  FOR  LAYING  OF  1  Km  LENGTH  OF  11 kV, 3 CORE 95 SQMM / 240 SQMM / 400 SQMM UNDERGROUND  CABLE</t>
  </si>
  <si>
    <t>S.  No.</t>
  </si>
  <si>
    <t>UNIT</t>
  </si>
  <si>
    <t>RATE</t>
  </si>
  <si>
    <t>3x95 Sqmm CABLE</t>
  </si>
  <si>
    <t>3x240 Sqmm CABLE</t>
  </si>
  <si>
    <t>3x400 Sqmm CABLE</t>
  </si>
  <si>
    <t xml:space="preserve">11 kV 3 Core XLPE Cable 3x95 sqmm  </t>
  </si>
  <si>
    <t xml:space="preserve">11 kV 3 Core XLPE Cable 3x240 sqmm  </t>
  </si>
  <si>
    <t xml:space="preserve">11 kV 3 Core XLPE Cable 3x400 sqmm  </t>
  </si>
  <si>
    <t xml:space="preserve">Straight through jointing kits HS type suitable for </t>
  </si>
  <si>
    <t>95 Sqmm cable</t>
  </si>
  <si>
    <t>240 Sqmm cable</t>
  </si>
  <si>
    <t>400 Sqmm cable</t>
  </si>
  <si>
    <t xml:space="preserve">Cable termination Kit outdoor/indoor HS type suitable for </t>
  </si>
  <si>
    <t xml:space="preserve"> 95 Sqmm</t>
  </si>
  <si>
    <t xml:space="preserve"> 240 Sqmm</t>
  </si>
  <si>
    <t xml:space="preserve"> 400 Sqmm</t>
  </si>
  <si>
    <t xml:space="preserve">Cable covering tiles 250x250x40 mm </t>
  </si>
  <si>
    <t>Sand</t>
  </si>
  <si>
    <t>Cu mtr</t>
  </si>
  <si>
    <t>M.S. Pipe 200 mm dia for drain crossing cable rarifly etc.</t>
  </si>
  <si>
    <t>RM (light)</t>
  </si>
  <si>
    <t>Route &amp; joint indicating stones</t>
  </si>
  <si>
    <t>Labour Charges as per CL-10</t>
  </si>
  <si>
    <t>Transportation Charges @ 5% of material</t>
  </si>
  <si>
    <t>COST SCHEDULE  C-16</t>
  </si>
  <si>
    <r>
      <t xml:space="preserve">D.T. CAPACITORS ON EXISTING DTR's </t>
    </r>
    <r>
      <rPr>
        <b/>
        <u val="single"/>
        <sz val="14"/>
        <color indexed="53"/>
        <rFont val="Arial"/>
        <family val="2"/>
      </rPr>
      <t>OTHER THAN INDUSTRIAL</t>
    </r>
    <r>
      <rPr>
        <b/>
        <u val="single"/>
        <sz val="14"/>
        <rFont val="Arial"/>
        <family val="2"/>
      </rPr>
      <t xml:space="preserve"> (RETAINED &amp; SHIFTED)</t>
    </r>
  </si>
  <si>
    <t>Capacitor Rating - KVAR</t>
  </si>
  <si>
    <t>LT Capacitor for 25 kVA DT</t>
  </si>
  <si>
    <t>LT Capacitor for 63 kVA DT</t>
  </si>
  <si>
    <t>LT Capacitor for 100 kVA DT</t>
  </si>
  <si>
    <t>LT Capacitor for 200 kVA DT</t>
  </si>
  <si>
    <t>LT Capacitor for 315 kVA DT</t>
  </si>
  <si>
    <t>COST SCHEDULE  C-17</t>
  </si>
  <si>
    <t>S.    No.</t>
  </si>
  <si>
    <t>DC Cross Arm of 100x50 mm channel (2.7 Mtr. Long)</t>
  </si>
  <si>
    <t>16 SQMM ALUMINIUM END TERMINALS (LUGS)</t>
  </si>
  <si>
    <t>50 SQMM ALUMINIUM END TERMINALS (LUGS)</t>
  </si>
  <si>
    <t>70 SQMM ALUMINIUM END TERMINALS (LUGS)</t>
  </si>
  <si>
    <t>95 SQMM ALUMINIUM END TERMINALS (LUGS)</t>
  </si>
  <si>
    <t>120 SQMM ALUMINIUM END TERMINALS (LUGS)</t>
  </si>
  <si>
    <t>150 SQMM ALUMINIUM END TERMINALS (LUGS)</t>
  </si>
  <si>
    <t>300 SQMM ALUMINIUM END TERMINALS (LUGS)</t>
  </si>
  <si>
    <t>PRE- INSULATED BIMETALLIC CRIMPING TYPE</t>
  </si>
  <si>
    <t>INSULATING PIERCING CONNECTOR AB CABLE(S</t>
  </si>
  <si>
    <t>INSULATING PIERCING CONNECTOR FOR AB CAB</t>
  </si>
  <si>
    <t>SCHEDULE  FOR  AUGMENTATION  OF 1 kM OF 11 kV LINE  FROM  WEASEL TO  RACCOON CONDUCTOR</t>
  </si>
  <si>
    <t>Raccoon Conductor</t>
  </si>
  <si>
    <t>11 kV Guarding Channel 100x50 mm set.</t>
  </si>
  <si>
    <t>G.I. Wire 8 SWG</t>
  </si>
  <si>
    <t xml:space="preserve">Stay Wire 7/10 SWG @ 5.5 Kg/Stay </t>
  </si>
  <si>
    <t>I-Bolt Big size</t>
  </si>
  <si>
    <t>Material Cost</t>
  </si>
  <si>
    <t>75 x 75 x 6 mm</t>
  </si>
  <si>
    <t>1:1.5:3 Ratio</t>
  </si>
  <si>
    <t>1:3:6 Ratio</t>
  </si>
  <si>
    <t>0.02 Sq.inch (20 Sqmm Al. Eq.) (Squirrel)</t>
  </si>
  <si>
    <t>0.03 Sq.inch (30 Sqmm Al. Eq.) (Weasel)</t>
  </si>
  <si>
    <t>0.05 Sq.inch (50 Sqmm Al. Eq.) (Rabbit)</t>
  </si>
  <si>
    <t>0.075 Sq.inch (80 Sqmm Al. Eq.) (Raccoon)</t>
  </si>
  <si>
    <t>0.10 Sq.inch (100 Sqmm Al. Eq.) (Dog)</t>
  </si>
  <si>
    <t>0.2 Sq inch ( 130 Sqmm Al.Eq.)(Panther)</t>
  </si>
  <si>
    <t>0.02 Sq.inch (20/22 Sqmm Al. Eq.) (Squirrel)</t>
  </si>
  <si>
    <t>0.03 Sq.inch (30/34 Sqmm Al. Eq.) (Weasel)</t>
  </si>
  <si>
    <t>0.05 Sq.inch (50/55 Sqmm Al. Eq.) (Rabbit)</t>
  </si>
  <si>
    <t xml:space="preserve">Disc insulator </t>
  </si>
  <si>
    <t>11 kV Pin insulator</t>
  </si>
  <si>
    <t xml:space="preserve">33 kV Pin insulator </t>
  </si>
  <si>
    <t>11 kV Post Insulator</t>
  </si>
  <si>
    <t>33 kV Post Insulator</t>
  </si>
  <si>
    <t>90 x 75 mm.</t>
  </si>
  <si>
    <t>65 x 50 mm.</t>
  </si>
  <si>
    <t>Stay insulator</t>
  </si>
  <si>
    <t>Split insulator</t>
  </si>
  <si>
    <t xml:space="preserve">PCC Pole using Dog Conductor </t>
  </si>
  <si>
    <t xml:space="preserve">PCC Pole using Raccoon Conductor </t>
  </si>
  <si>
    <t>(iii) Stay Clamp for PCC Pole</t>
  </si>
  <si>
    <t>Stay Clamp for PCC Pole</t>
  </si>
  <si>
    <t>Files of sizes</t>
  </si>
  <si>
    <t>Safety belts</t>
  </si>
  <si>
    <t>Safety helmets</t>
  </si>
  <si>
    <t xml:space="preserve">Fire fighting equipments (dry chemical powder type 5 Kg capacity) </t>
  </si>
  <si>
    <r>
      <t>Fire fighting equipments 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fire extinguisher of 2 Kg Capacity)  </t>
    </r>
  </si>
  <si>
    <t>COST SCHEDULE   C-12</t>
  </si>
  <si>
    <r>
      <t xml:space="preserve">ESTIMATE  FOR  11 kV  UNDERGROUND  CABLE  CROSSING  UNDER  RAILWAY  TRACK  FOR  </t>
    </r>
    <r>
      <rPr>
        <b/>
        <u val="single"/>
        <sz val="12"/>
        <color indexed="10"/>
        <rFont val="Arial"/>
        <family val="2"/>
      </rPr>
      <t>60</t>
    </r>
    <r>
      <rPr>
        <b/>
        <u val="single"/>
        <sz val="12"/>
        <rFont val="Arial"/>
        <family val="2"/>
      </rPr>
      <t xml:space="preserve"> MTR.  LENGTH,  UNDER  2.5  MTR.  DEEP  FROM  GROUND  LEVEL</t>
    </r>
  </si>
  <si>
    <t>11 kV XLPE 240 sqmm 3 core UG Cable</t>
  </si>
  <si>
    <t>GI earthing pipe of 40 mm dia 3.04 mtr long, 8 mm thickness 12 mm hole at 18 places at equal distance trapered casing at lower end .</t>
  </si>
  <si>
    <t>Cost per 60 Mtr for non guaranteed works</t>
  </si>
  <si>
    <t xml:space="preserve">Cost per 60 Mtr for non guaranteed works (Rounded off ) </t>
  </si>
  <si>
    <t>COST SCHEDULE C-12 (A)</t>
  </si>
  <si>
    <t xml:space="preserve">SCHEDULE  FOR 11 kV  UNDERGROUND  CABLE  ROAD  CROSSING FOR 50 MTR. LENGTH, UNDER 2.5 MTR. DEEP FROM GROUND LEVEL </t>
  </si>
  <si>
    <t>CURRENT TRANSFORMER 100-50/1/1A SUITABLE</t>
  </si>
  <si>
    <t>C.T. 132KV 200-100/1/1A SUITABLE</t>
  </si>
  <si>
    <t>CURRENT X-MER 300-150/1/1A - 132KV</t>
  </si>
  <si>
    <t>OIL IMM 3 PH CTPT UNITS 11 KV 7.5/5 A</t>
  </si>
  <si>
    <t>CT/PT UNIT 11KV/110 V 10/5 A OIL IMMERSE</t>
  </si>
  <si>
    <t>OIL IMM 3 PH CTPT UNITS 11 KV 15/5 A</t>
  </si>
  <si>
    <t>OIL IMM 3 PH CTPT UNITS 11 KV 300-150/5A</t>
  </si>
  <si>
    <t>OIL IMM 3 PH CTPT UNITS 11 KV 25/5 A</t>
  </si>
  <si>
    <t>OIL IMM 3 PH CTPT UNITS 11 KV 75/5 A</t>
  </si>
  <si>
    <t>OIL IMM 3 PH CTPT UNITS 11 KV 200-100/5A</t>
  </si>
  <si>
    <t>OIL IMMERSED 3 PH CTPT UNITS-11 KV 50/5A</t>
  </si>
  <si>
    <t>OIL IMM 3 PH CTPT UNITS 33 KV - 20/5 A</t>
  </si>
  <si>
    <t>OIL IMM 3 PH CTPT UNITS 33 KV-200-100/5A</t>
  </si>
  <si>
    <t>OIL IMM 3 PH CTPT UNITS 33 KV - 5/5A</t>
  </si>
  <si>
    <t>OIL IMM 3 PH CTPT UNITS 33 KV - 10/5 A</t>
  </si>
  <si>
    <t>OIL IMM 3 PH CTPT UNITS 33 KV - 30/5A</t>
  </si>
  <si>
    <t>OIL IMM 3 PH CTPT UNITS 33 KV - 50/5 A</t>
  </si>
  <si>
    <t>OIL IMM 3 PH CTPT UNITS 33 KV-100&amp;200/5A</t>
  </si>
  <si>
    <t>End terminating jointing kit for 400 sqmm XLPE cable</t>
  </si>
  <si>
    <t xml:space="preserve">Suspension clamp assembly (consisting of GI Pole Clamp, GI Flat type I-hook &amp; Nylon Cable tie). </t>
  </si>
  <si>
    <t>11KV D.O.FUSE ELEMENT (1.5 AMP TO 10 AMP</t>
  </si>
  <si>
    <t>HRC FUSE 250 AMPS</t>
  </si>
  <si>
    <t>HRC FUSE 400 AMPS</t>
  </si>
  <si>
    <t>FUSE ELEMENT 25 AMPS FOR 33 KV DO</t>
  </si>
  <si>
    <t>FUSE ELEMENT 50 AMPS FOR 33 KV DO</t>
  </si>
  <si>
    <t>H.R.C. FUSE UNITS: -100 Amps.</t>
  </si>
  <si>
    <t>TRANSFORMER 11/.4KV 10 KVA 1 PHASE</t>
  </si>
  <si>
    <t>TRANSFORMER 11/.4KV 16 KVA 3 PHASE COPPE</t>
  </si>
  <si>
    <t>Single Ph transfor with protection 16KVA</t>
  </si>
  <si>
    <t>TRANSFORMER 11/.4KV 25 KVA 3 STAR RATING</t>
  </si>
  <si>
    <t>TRANSFORMER 11/.4 KV 25 KVA</t>
  </si>
  <si>
    <t>TRANSFORMER 11/.4KV 63 KVA 3 STAR RATING</t>
  </si>
  <si>
    <t>TRANSFORMER 11/.4KV 100 KVA 3 STAR RATIN</t>
  </si>
  <si>
    <t>TRANSFORMER 11/.4KV 200 KVA 3 STAR RATIN</t>
  </si>
  <si>
    <t>TRANSFORMER 11/0.4 KV 200 KVA</t>
  </si>
  <si>
    <t>TRANSFORMER 11/0.4 KV 315 KVA</t>
  </si>
  <si>
    <t>TRANSFORMER 11/0.4 KV 500 KVA</t>
  </si>
  <si>
    <t>TRANSFORMER 33/.4KV 50KVA</t>
  </si>
  <si>
    <t>TRANSFORMER 33/0.4 KV 200 KVA</t>
  </si>
  <si>
    <t>TRANSFORMER 33/0.4 KV 300 KVA</t>
  </si>
  <si>
    <t>TRANSFORMER 33/11KV 1.6 MVA POWER</t>
  </si>
  <si>
    <t>TRANSFORMER 33/11KV 3.15 MVA POWER</t>
  </si>
  <si>
    <t>TRANSFORMER 33/11KV 5 MVA POWER</t>
  </si>
  <si>
    <t>INDOOR TYPE 33KV CT:PT UNIT 100/5A</t>
  </si>
  <si>
    <t>L.T. C.T.100/5 Amps.</t>
  </si>
  <si>
    <t>INDOOR TYPE 33KV CT:PT UNIT 50/5A</t>
  </si>
  <si>
    <t>L.T. C.T.200/5 Amps.</t>
  </si>
  <si>
    <t>L.T. C.T.300/5 Amps.</t>
  </si>
  <si>
    <t>L.T. C.T.500/5 Amps.</t>
  </si>
  <si>
    <t>220 KV CT 800-400/1-1-1-1-1AMP.</t>
  </si>
  <si>
    <t>33KV CT 400-200/5-5A</t>
  </si>
  <si>
    <t>CURRENT TRANSFORMER 600-300/1/1-1A,132KV</t>
  </si>
  <si>
    <t>Mounting GI structure for above isolator</t>
  </si>
  <si>
    <t>9 KV, 10 KA, Station Class, Polymer Lightning Arrestors</t>
  </si>
  <si>
    <t>12.1 kV,1089 KVAr, 3-Phase, 50 Hz, Outdoor Type, Capacitor bank</t>
  </si>
  <si>
    <t>11 KV C.T's (OUT DOOR TYPE)300-150/5 A</t>
  </si>
  <si>
    <t>33KV CT's(300-150/5)A oil filled OD Type</t>
  </si>
  <si>
    <t>33KV CT's(200-100/5)A oil filled OD Type</t>
  </si>
  <si>
    <t>(I) Stay Clamp for "H" Beam</t>
  </si>
  <si>
    <t>Concreting of support @ 0.6 Cmt/pole, @ 0.2 Cmt/stay &amp; base padding @ 0.05 Cmt /pole</t>
  </si>
  <si>
    <t>63 kVA (4-STAR)</t>
  </si>
  <si>
    <t>Service in lieu of concreting @ 2968.46 per Cmt.</t>
  </si>
  <si>
    <t>Labour charges as per Schedule No. CL-8 (G-1)</t>
  </si>
  <si>
    <t>132 KV CT 150-75/1</t>
  </si>
  <si>
    <t>220 KV CT 150-75/1</t>
  </si>
  <si>
    <t>220 KV CT 300-150/1</t>
  </si>
  <si>
    <t>220 KV CT 600-300/1</t>
  </si>
  <si>
    <t>33KV OIL IMMERSED 3 PHASE 300-150/5A CT-</t>
  </si>
  <si>
    <t>11 KV C.T's (OUT DOOR TYPE)200-100/5 A</t>
  </si>
  <si>
    <t>24 (a)</t>
  </si>
  <si>
    <t>Labour charges as per Sch No. CL-4</t>
  </si>
  <si>
    <t xml:space="preserve">Transport charges upto 50 Kms average lead from Area stores to construction camp including site transport (Transport Sch T-1) </t>
  </si>
  <si>
    <t>Note: All the rates are with considering price variation clause.</t>
  </si>
  <si>
    <t>COST  SCHEDULE  C-9 (A)</t>
  </si>
  <si>
    <t>ADDITIONAL (MID SPAN) POLES  FOR NEW 11 kV LINE WITH RACCOON  CONDUCTOR</t>
  </si>
  <si>
    <t xml:space="preserve">H BEAM 152X152 MM 37.10 KG / MTR 13.0 MTR LONG </t>
  </si>
  <si>
    <t xml:space="preserve">H-BEAM 152x152 mm;  37.1 Kg /Mtr 13.0 Mtr long i.e. 482.3 Kg/pole  </t>
  </si>
  <si>
    <t>Labour charges as per Sch No.- CL-4 (revised based on one pole)</t>
  </si>
  <si>
    <t>6.0 Sqmm.</t>
  </si>
  <si>
    <t>10 Sq.mm.</t>
  </si>
  <si>
    <t>25 Sq.mm.</t>
  </si>
  <si>
    <t>33 kV Composite Disc insulator</t>
  </si>
  <si>
    <t>33 kV Pin insulator with Pin</t>
  </si>
  <si>
    <t>11 kV Pin insulator with Pin</t>
  </si>
  <si>
    <t>Strain H/W up to Rabbit.</t>
  </si>
  <si>
    <t>Strain H/W for Raccoon &amp; Dog.</t>
  </si>
  <si>
    <t>33 kV Polymer Lightning Arrestor</t>
  </si>
  <si>
    <t>11 kV Polymer Lightning Arrestor</t>
  </si>
  <si>
    <t>RUBBER HAND GLOVES</t>
  </si>
  <si>
    <t>CO2 TYPE EXTINGUISHER ,2 KG CAPACITY</t>
  </si>
  <si>
    <t>RAIN COATS WITH HOODS</t>
  </si>
  <si>
    <t>GUM BOOTS</t>
  </si>
  <si>
    <t>SILICA GEL</t>
  </si>
  <si>
    <t>POLYCARBONATE SEAL</t>
  </si>
  <si>
    <t>METTING RUBBER 1900X1800X12MM</t>
  </si>
  <si>
    <t>TRANSFORMER OIL In Tanker/barrel</t>
  </si>
  <si>
    <t>POLY CORBONATE SEAL DOUBLE ANKER TYPE</t>
  </si>
  <si>
    <t>HDPE PIPE 200MM ID; 240MM OD</t>
  </si>
  <si>
    <t>JOINTING ARRANGEMENT OF HDPE PIPE</t>
  </si>
  <si>
    <t>30 Volt 100 AH lead acid battery charger</t>
  </si>
  <si>
    <t>PVC INSULATION TAPES 19 MM WIDE AND IN R</t>
  </si>
  <si>
    <t>G.I. bend 200 mm</t>
  </si>
  <si>
    <t>Grand Total (Rounded off)</t>
  </si>
  <si>
    <t>Distribution Board with MCB</t>
  </si>
  <si>
    <t>Pair</t>
  </si>
  <si>
    <t xml:space="preserve">Rate </t>
  </si>
  <si>
    <t>Amount</t>
  </si>
  <si>
    <t>Kg.</t>
  </si>
  <si>
    <t>Set</t>
  </si>
  <si>
    <t>No.</t>
  </si>
  <si>
    <t xml:space="preserve">Capacitor cost </t>
  </si>
  <si>
    <t xml:space="preserve">Incidental Charges
</t>
  </si>
  <si>
    <t xml:space="preserve">Labour Charge per Capacitor Bank
</t>
  </si>
  <si>
    <t xml:space="preserve">Cost per Package
</t>
  </si>
  <si>
    <r>
      <t xml:space="preserve">Cost per Package
</t>
    </r>
    <r>
      <rPr>
        <b/>
        <sz val="11"/>
        <color indexed="8"/>
        <rFont val="Arial"/>
        <family val="2"/>
      </rPr>
      <t>Round Off</t>
    </r>
  </si>
  <si>
    <t>Jointing Kit 11 kV ABC Section Suspensio</t>
  </si>
  <si>
    <t>33 kV Guarding Channel 100x50 mm</t>
  </si>
  <si>
    <t>Old Bin Code  7131329276</t>
  </si>
  <si>
    <t>Old Bin Code  7131329277</t>
  </si>
  <si>
    <t>Old Bin Code 7131329278</t>
  </si>
  <si>
    <t>LT Single Phase MCB 5 Amps.</t>
  </si>
  <si>
    <t>LT Single Phase MCB 6 to 16 Amps.</t>
  </si>
  <si>
    <t>LT Three Phase MCB 32 Amps.</t>
  </si>
  <si>
    <t>LT Three Phase MCB 16 Amps.</t>
  </si>
  <si>
    <t>ELCB-MCB Composite Unit 10 Amps. (100 mA DP)</t>
  </si>
  <si>
    <t>ELCB-MCB Composite Unit 16 Amps. (100 mA DP)</t>
  </si>
  <si>
    <t>ELCB-MCB Composite Unit 20 Amps. (100 mA DP)</t>
  </si>
  <si>
    <t>MCCB 32 Amps. (10 kA TP)</t>
  </si>
  <si>
    <t>MCCB 160 Amps. (10 kA TP)</t>
  </si>
  <si>
    <t>D.O.Fuse element 11 kV (1.5 Amp. to 10 Amp.)</t>
  </si>
  <si>
    <t>H.R.C. Fuse 250 Amps.</t>
  </si>
  <si>
    <t>H.R.C. Fuse 400 Amps.</t>
  </si>
  <si>
    <t>H.R.C. Fuse 100 Amps.</t>
  </si>
  <si>
    <t>D.O.Fuse element 33 kV (25 Amp.)</t>
  </si>
  <si>
    <t>D.O.Fuse element 33 kV (50 Amp.)</t>
  </si>
  <si>
    <t>H.R.C. Fuse Unit 250 Amps.</t>
  </si>
  <si>
    <t>H.R.C. Fuse Unit 100 Amps.</t>
  </si>
  <si>
    <t>H.R.C. Fuse Unit 400 Amps.</t>
  </si>
  <si>
    <t>T.C. Fuse Wire 22 SWG</t>
  </si>
  <si>
    <t>T.C. Fuse Wire 20 SWG</t>
  </si>
  <si>
    <t>T.C. Fuse Wire 18 SWG</t>
  </si>
  <si>
    <t>33 kV ABC Termination kit 240 sqmm</t>
  </si>
  <si>
    <t>33 kV ABC Termination kit 300 sqmm</t>
  </si>
  <si>
    <t>33 kV ABC Termination kit 400 sqmm</t>
  </si>
  <si>
    <t>Cable tie for AB Cable</t>
  </si>
  <si>
    <t xml:space="preserve">11 kV 3 phase Aerial Bunched Cable 3x35 + 35 Sq mm </t>
  </si>
  <si>
    <t>Static 5.0-30 Amps Pilfer proof with transparent poly carbonate meter box.</t>
  </si>
  <si>
    <t>Note:-   All the rates are with considering price variation clause.</t>
  </si>
  <si>
    <t>60 Kg/Mtr 11.0 Mtr long Rail Pole (660 Kg each) x 12 No = 7920 Kgs</t>
  </si>
  <si>
    <t xml:space="preserve">  70 Sqmm.</t>
  </si>
  <si>
    <t>120 Sq.mm.</t>
  </si>
  <si>
    <t xml:space="preserve">400 Sqmm. </t>
  </si>
  <si>
    <t>3x95 Sq.mm.</t>
  </si>
  <si>
    <t>3x150 Sq.mm.</t>
  </si>
  <si>
    <t>3x185 Sq.mm.</t>
  </si>
  <si>
    <t>3x240 Sq.mm.</t>
  </si>
  <si>
    <t>33 kV AB Cable Straight thru' joint kit suitable for 35-70 sqmm</t>
  </si>
  <si>
    <t>33 kV AB Cable Straight thru' joint kit suitable for 95-120 sqmm</t>
  </si>
  <si>
    <t>33 kV ABC Termination kit 35-70 sqmm</t>
  </si>
  <si>
    <t>33 kV ABC Termination kit 95-120 sqmm</t>
  </si>
  <si>
    <t>11 kV G.I. Pin</t>
  </si>
  <si>
    <t>LT 3 phase 5 Wire Aerial Bunched Cable of Size 3X25+1X16+1x25</t>
  </si>
  <si>
    <t>LT 3 phase 5 Wire Aerial Bunched Cable of Size 3X35+1x16+1x25</t>
  </si>
  <si>
    <t>LT 3 phase 5 Wire Aerial Bunched Cable of Size 3X50+1x16+1x35</t>
  </si>
  <si>
    <t>PORCELAIN KITKATS FUSE UNITS 16 AMPS</t>
  </si>
  <si>
    <t>PORCELAIN KIT-KATS FUSE UNITS 100 Amps.</t>
  </si>
  <si>
    <t>PORCELAIN KIT-KATS FUSE UNITS 200 Amps</t>
  </si>
  <si>
    <t>PORCELAIN KIT-KATS FUSE UNITS 300 Amps.</t>
  </si>
  <si>
    <t>12KV KIOSK TYPE OUTDOOR VACUUM CIRCUIT B</t>
  </si>
  <si>
    <t>TPN SWITCHES, 415 VOLTS: - 32 AMPS.</t>
  </si>
  <si>
    <t>Using WEASEL Conductor</t>
  </si>
  <si>
    <t>T.W. Meter Board, 300x300x75 mm, coated with varnish/SMC board</t>
  </si>
  <si>
    <t>Roll</t>
  </si>
  <si>
    <t>0.09</t>
  </si>
  <si>
    <t>T.W. plate 300x300x25 mm with 20 mm dia holes at the corners and coated with two coats of varnish on one side/SMC board</t>
  </si>
  <si>
    <t>Tension hardware suitable for Panther Conductor.</t>
  </si>
  <si>
    <t>For 90 x 75 mm insulators</t>
  </si>
  <si>
    <t>For 65 x 50 mm insulators</t>
  </si>
  <si>
    <t>GI Pin for 11 kV Pin insulator.</t>
  </si>
  <si>
    <t>GI Pin for 33 kV Pin insulator.</t>
  </si>
  <si>
    <t>Locally fabricated - 3 Phase fuse units (Robust fuse for circuit base).</t>
  </si>
  <si>
    <r>
      <t>11 kV Kiosk VCB</t>
    </r>
    <r>
      <rPr>
        <sz val="10"/>
        <rFont val="Verdana"/>
        <family val="2"/>
      </rPr>
      <t xml:space="preserve"> </t>
    </r>
  </si>
  <si>
    <r>
      <t>11 kV VCB</t>
    </r>
    <r>
      <rPr>
        <sz val="10"/>
        <rFont val="Verdana"/>
        <family val="2"/>
      </rPr>
      <t xml:space="preserve"> without control panel &amp; CT's.</t>
    </r>
  </si>
  <si>
    <t>Feeder Control (Static Relays)</t>
  </si>
  <si>
    <t>Transformer Control (Static Relays)</t>
  </si>
  <si>
    <t>2 Feeder Control (Static Relays)</t>
  </si>
  <si>
    <t>1 Transformer+1 Feeder (Static Relays)</t>
  </si>
  <si>
    <t>Grounding Sticks (Earthing Rods)</t>
  </si>
  <si>
    <t>Panel lndication lamps</t>
  </si>
  <si>
    <t>Ring Spanners  (6x7,8x9, 10x11,12x13,14x15,16x17,18x19, 20x22x,21x23,24x27,25x28,30x32)</t>
  </si>
  <si>
    <t>RATE OF STOCK MATERIALS IN 2015-16</t>
  </si>
  <si>
    <t>33 KV 4.8 MTR DC CROSS ARM</t>
  </si>
  <si>
    <t>Stay clamp for 'H' Beam</t>
  </si>
  <si>
    <t>11KV 5KN PIN INSULATOR (POLYMER)</t>
  </si>
  <si>
    <t>33KV 10KN PIN INSULATOR (POLYMER)</t>
  </si>
  <si>
    <t>11KV 45KN DISC INSULATOR T&amp;C TYPE (POLYM</t>
  </si>
  <si>
    <t>33KV POLYMER (COMPOSITE) DISC INSULATOR</t>
  </si>
  <si>
    <t>Split insulators.</t>
  </si>
  <si>
    <t>11KV POST INSULATOR</t>
  </si>
  <si>
    <t>33KV POST INSULATOR</t>
  </si>
  <si>
    <t>Disc Insulator</t>
  </si>
  <si>
    <t>11/0.4 kV OUT DOOR SUB-STATION (USING PCC POLE FOR  25/63 kVA TRANSFORMER &amp; DOUBLE WELDED  RS JOIST 175x85 mm FOR 100/200 kVA TRANSFORMER AND SINGLE  CORE CABLE)</t>
  </si>
  <si>
    <t>(iv) 200 kVA TRANSFORMER (4 STAR)</t>
  </si>
  <si>
    <t>(i) 140 Kg 8.0 Mtr. long PCC Pole</t>
  </si>
  <si>
    <t>(ii) 175x85 mm 11.0 Mtr long R.S. Joist @ 19.495 Kg/mtr x 9 mtr = 175.45 kg/pole x 2 No = 428.9 Kgs, For 4 No pole = 857.8 Kg</t>
  </si>
  <si>
    <t>11 kV H.W</t>
  </si>
  <si>
    <t>11 kV DO fuse &amp; LA mounting DC cross arm (75x40 mm)</t>
  </si>
  <si>
    <t xml:space="preserve">MS Angle 50x50x6 mm for X-mer Clamping set </t>
  </si>
  <si>
    <t>Earlier - 11 kV Pin Insulator</t>
  </si>
  <si>
    <t>Sundries (Please specify the items)</t>
  </si>
  <si>
    <t>D.C.Cross arm 5' Centre 100x50 mm M.S.Channel</t>
  </si>
  <si>
    <t>(-) 10% Irreducible cost</t>
  </si>
  <si>
    <t xml:space="preserve">(-) 10 year life @ 4% per year </t>
  </si>
  <si>
    <t>Depreciated cost of X-mer after addition to 10% irreducible cost</t>
  </si>
  <si>
    <t>(-) Cost of old X-mer assuming 25 years of life &amp; 10 years in service</t>
  </si>
  <si>
    <t>280 Kg; 9.1 Mtr long</t>
  </si>
  <si>
    <t>350 Kg; 7.0 Mtr long</t>
  </si>
  <si>
    <t>100x50 mm</t>
  </si>
  <si>
    <t>75x40 mm</t>
  </si>
  <si>
    <t>65x8 mm</t>
  </si>
  <si>
    <t>50x6 mm</t>
  </si>
  <si>
    <t>65 x 65 x 6 mm</t>
  </si>
  <si>
    <t>50 x 50 x 6 mm</t>
  </si>
  <si>
    <t xml:space="preserve">Anchor clamp assembly (consisting of GI Pole Clamp, GI Flat type I-hook &amp; Nylon Cable tie). </t>
  </si>
  <si>
    <t>DELETED</t>
  </si>
  <si>
    <t>GI earthing pipe of 40 mm dia. &amp; 2.4 mm thick 3.04 mtr long with 12 mm hole at 18 places at equal distance trapered casing at lower end .</t>
  </si>
  <si>
    <t>G.I.Bend of 40 mm dia.</t>
  </si>
  <si>
    <t>Copper control cable 10 Core  2.5 Sqmm. (armoured)</t>
  </si>
  <si>
    <t>H.T. Static Trivector Meter 3 Ø 4 Wire 0.5 S with DLMS Protocol category A</t>
  </si>
  <si>
    <t>Universal Meter Box for HT meters.</t>
  </si>
  <si>
    <t>Test terminal Box (TTB)</t>
  </si>
  <si>
    <r>
      <t>Rate</t>
    </r>
    <r>
      <rPr>
        <b/>
        <sz val="12"/>
        <rFont val="Arial"/>
        <family val="2"/>
      </rPr>
      <t xml:space="preserve"> </t>
    </r>
  </si>
  <si>
    <t xml:space="preserve">25 mm dia 2500 mm long GI rod earth electrodes </t>
  </si>
  <si>
    <t>Qnty.</t>
  </si>
  <si>
    <t>H.R.C. FUSE UNITS: -200 Amps.</t>
  </si>
  <si>
    <t>H.R.C. FUSE UNITS: -300 Amps.</t>
  </si>
  <si>
    <t>F WIRE TINNED COPER 22 SWG24 AMP.RATING</t>
  </si>
  <si>
    <t>FUSE WIRE TINNED COPPER 20 SWG FOR 34 AM</t>
  </si>
  <si>
    <t>FUSE WIRE TINNED COPPER 18 SWG FOR 45 AM</t>
  </si>
  <si>
    <t>FUSE WIRE TINNED COPPER 16 SWG FOR 73 AM</t>
  </si>
  <si>
    <t>FUSE WIRE TINNED COPPER 14 SWG FOR 102 A</t>
  </si>
  <si>
    <t>FUSE WIRE TINNED COPPER 12 SWG</t>
  </si>
  <si>
    <t>11/0.4 kV 63 kVA X-mer (4-STAR)</t>
  </si>
  <si>
    <t>COST SCHEDULE  C-11</t>
  </si>
  <si>
    <t xml:space="preserve"> COST SCHEDULE  C-11 (A)</t>
  </si>
  <si>
    <r>
      <t xml:space="preserve">Rate </t>
    </r>
    <r>
      <rPr>
        <b/>
        <sz val="11"/>
        <rFont val="Arial"/>
        <family val="0"/>
      </rPr>
      <t xml:space="preserve"> </t>
    </r>
  </si>
  <si>
    <t>TRANSFORMER 11/.4KV 5 KVA 1 PHASE</t>
  </si>
  <si>
    <t>Combination Plier</t>
  </si>
  <si>
    <t>Earthing Set (Coil earth as per Drawing No :- G/007</t>
  </si>
  <si>
    <t xml:space="preserve">Jointing sleeves suitable for 50 Sqmm Al Eq. ACSR Conductor  </t>
  </si>
  <si>
    <t>(I) Stay set 16 mm with turn buckle without stay wire</t>
  </si>
  <si>
    <t xml:space="preserve">(II) Stay Wire 7/10 SWG @ 8.5 Kg/Stay </t>
  </si>
  <si>
    <t xml:space="preserve">(III) Stay Clamp </t>
  </si>
  <si>
    <t>Porcelain Kit-kat fuse unit 16 Amps.</t>
  </si>
  <si>
    <t>Porcelain Kit-kat fuse unit 100 Amps.</t>
  </si>
  <si>
    <t>Porcelain Kit-kat fuse unit 200 Amps.</t>
  </si>
  <si>
    <t>Porcelain Kit-kat fuse unit 300 Amps.</t>
  </si>
  <si>
    <t>TPN Switches 32 Amps.</t>
  </si>
  <si>
    <t>TPN Switches 63 Amps.</t>
  </si>
  <si>
    <t>TPN Switches 100 Amps.</t>
  </si>
  <si>
    <t>TPN Switches 200 Amps.</t>
  </si>
  <si>
    <t>TPN Switches 300 Amps.</t>
  </si>
  <si>
    <t>TPN Switches 400 Amps.</t>
  </si>
  <si>
    <t>11 kV Porcelain A.B. Switch</t>
  </si>
  <si>
    <t>33 kV Porcelain A.B. Switch</t>
  </si>
  <si>
    <t>11 kV Porcelain D.O. Fuse unit</t>
  </si>
  <si>
    <t>33 kV Porcelain D.O. Fuse unit</t>
  </si>
  <si>
    <t>MCCB 100 Amps. (10 kA TP)</t>
  </si>
  <si>
    <t>MCCB 300 Amps. (35 kA TP)</t>
  </si>
  <si>
    <t>MCCB 450 TO 500 Amps. (35 kA TP)</t>
  </si>
  <si>
    <t>BOLT WITH NUT M S 12X100 MM</t>
  </si>
  <si>
    <t>M S NUTS AND BOLTS: - 12x120mm</t>
  </si>
  <si>
    <t>M S NUTS AND BOLTS: - 12x140mm</t>
  </si>
  <si>
    <t>M S NUTS AND BOLTS: - 16x40mm</t>
  </si>
  <si>
    <t>M S NUTS AND BOLTS: - 16x65mm</t>
  </si>
  <si>
    <t>M S NUTS AND BOLTS: - 16x90mm</t>
  </si>
  <si>
    <t>M S NUTS AND BOLTS: - 16x100mm</t>
  </si>
  <si>
    <t>M S NUTS AND BOLTS: - 16x140mm</t>
  </si>
  <si>
    <t>M S NUTS AND BOLTS: - 16x160mm</t>
  </si>
  <si>
    <t>M S NUTS AND BOLTS - 16x200mm</t>
  </si>
  <si>
    <t>M S NUTS AND BOLTS: - 16x300mm</t>
  </si>
  <si>
    <t>M S NUTS AND BOLTS: - 16x250mm</t>
  </si>
  <si>
    <t>M S NUTS AND BOLTS: - 20x75mm</t>
  </si>
  <si>
    <t>M S NUTS AND BOLTS: - 20x90mm</t>
  </si>
  <si>
    <t>M S NUTS AND BOLTS: - 20x110mm</t>
  </si>
  <si>
    <t>M S NUTS AND BOLTS: - 24x120mm</t>
  </si>
  <si>
    <t>Foundation bolt 25x1200 mm</t>
  </si>
  <si>
    <t>WASHER SPRING 25MM HOLE DIA</t>
  </si>
  <si>
    <t>G.I. PIPE 200MM FOR 400MM CABLE OF DIA 1</t>
  </si>
  <si>
    <t>G.I.BEND 200MM</t>
  </si>
  <si>
    <t>CAPING OF HDPE PIPE ON BOTH END OF PIPE</t>
  </si>
  <si>
    <t>900 MM RCC PIPE TYPE NP-2(2.5MTR LONG)</t>
  </si>
  <si>
    <t>M.S. PIPE 200MM DIA WITH COLLARS</t>
  </si>
  <si>
    <t>PIPE GI 40 MM MEDIUM QUALITY</t>
  </si>
  <si>
    <t>G.I. EARTHING PIPE 40 MM</t>
  </si>
  <si>
    <t>G.I.EARTHING PIPE/ROD SIZE 2500x25 mm</t>
  </si>
  <si>
    <t>ANCHOR CLAMP/ DEAD END CLAMP</t>
  </si>
  <si>
    <t>SUSPENSION CLAMP</t>
  </si>
  <si>
    <t>PCC POLE 140 KG; 8,0 MTR LONG</t>
  </si>
  <si>
    <t>PCC POLE 280 KG; 9,1 MTR LONG</t>
  </si>
  <si>
    <t>POLE-STEEL TUBULAR 100X125X150MM 10.9 MT</t>
  </si>
  <si>
    <t>PCC POLE 350 KG; 7,0 MTR LONG</t>
  </si>
  <si>
    <t>Through Bolt 12 mm</t>
  </si>
  <si>
    <t>D.C. Cross arm 3.8 Mtr 100 x 50 mm.</t>
  </si>
  <si>
    <t>Stay clamp LT/Pair</t>
  </si>
  <si>
    <t>LT U CLAMP</t>
  </si>
  <si>
    <t>POLE CLAMP</t>
  </si>
  <si>
    <t>Service ring made of 16 mm</t>
  </si>
  <si>
    <t>HT STAY CLAMP PCC POLE 280 KG A TYPE</t>
  </si>
  <si>
    <t>HT STAY CLAMP RAIL POLE A TYPE</t>
  </si>
  <si>
    <t>HT STAY CLAMP R S JOIST A TYPE</t>
  </si>
  <si>
    <t>HT STAY CLAMP RAIL POLE B TYPE</t>
  </si>
  <si>
    <t>33 KV TOP CLAMP SEMIFINISHED</t>
  </si>
  <si>
    <t>LT THREE PIN CROSS ARM</t>
  </si>
  <si>
    <t>713081LT 4-Pin cross arms 50 x 50 x 6 mm</t>
  </si>
  <si>
    <t>LT FIVE PIN CROSS ARM</t>
  </si>
  <si>
    <t>11 KV V CROSS ARM</t>
  </si>
  <si>
    <t>D.O. / LA Mounting channel 75x40 mm.</t>
  </si>
  <si>
    <t>1.1 MTR DPDC CROSS ARM</t>
  </si>
  <si>
    <t>11KV 4 FEET CENTRE DC CROSS ARM</t>
  </si>
  <si>
    <t>11KV 3 PHASE AERIAL BUNCHED XLPE CABLE 3</t>
  </si>
  <si>
    <t>11KV AB XLPE CABLE STRAIGHT THRU JOINT K</t>
  </si>
  <si>
    <t>LT 1PH 3 WIRE AERIAL BUNCHED CABLE OF SI</t>
  </si>
  <si>
    <t>1.1KV LT  AB CABLE 3X50+1X16+1X35 SQMM</t>
  </si>
  <si>
    <t>LT 3PH 5 WIRE AERIAL BUNCHED CABLE OF SI</t>
  </si>
  <si>
    <t>LT AB CABLEB 3X16+1X25 SQMM</t>
  </si>
  <si>
    <t>LT AB CABLEB 3X25+1X25 SQMM</t>
  </si>
  <si>
    <t>33KV 3 CORE XLPE UG CABLE 3X 240SQMM</t>
  </si>
  <si>
    <t>11KV 3 CORE XLPE UG CABLE 95 SQMM</t>
  </si>
  <si>
    <t>11KV 3 CORE XLPE UG CABLE 120 SQMM</t>
  </si>
  <si>
    <t>11KV 3 CORE XLPE UG CABLE 240 SQMM</t>
  </si>
  <si>
    <t>11KV 3 CORE XLPE UG CABLE 400 SQMM</t>
  </si>
  <si>
    <t>CONTROL CABLE COP 2CORE 2.5SQMM PVC/PVC</t>
  </si>
  <si>
    <t>CONTROL CABLE COP 4CORE 2.5SQMM PVC/PVC</t>
  </si>
  <si>
    <t>CONTROL CABLE COP 8 CORE 2.5 SQ MM PVC/P</t>
  </si>
  <si>
    <t>60 Kg/Mtr 11.0 Mtr long Rail Pole (660 Kg each) x 2 No = 1320 Kgs</t>
  </si>
  <si>
    <t>11 kV Polymer Disc Insulator</t>
  </si>
  <si>
    <t>Earlier- 11 kV Disc Insulator</t>
  </si>
  <si>
    <t>GI earthing pipe of 40 mm dia 3.04 mtr long with 12 mm hole at 18 places at equal distance trapered casing at lower end .</t>
  </si>
  <si>
    <t>Single phase AB switch complete.</t>
  </si>
  <si>
    <t>Not Procured</t>
  </si>
  <si>
    <t xml:space="preserve">(I) Stay set 20 mm </t>
  </si>
  <si>
    <t>(II) Stay Wire 7/8 SWG @ 8.5 Kg per stay</t>
  </si>
  <si>
    <t>11 kV ABC-T Jointing kit 35-70 sqmm</t>
  </si>
  <si>
    <t>11 kV ABC-T Jointing kit 95-120 sqmm</t>
  </si>
  <si>
    <t>Section Suspension Assembly (Suitable for all size cable)</t>
  </si>
  <si>
    <t>LT 1 phase 3 Wire Aerial Bunched Cable of Size 1X35+1X16+1x25</t>
  </si>
  <si>
    <t>INSULATING PIERCING CONNECTOR FOR ABC TO</t>
  </si>
  <si>
    <t>UDC- UNIVERSAL DISTRIBUTION CONNECTOR</t>
  </si>
  <si>
    <t>STRAIGHT THROUGH JOINT</t>
  </si>
  <si>
    <t>END CLAMP CAP FOR 50/70 SQMM</t>
  </si>
  <si>
    <t>M S ANGLE 50X50X5 MM</t>
  </si>
  <si>
    <t>M S ANGLE 65X65X6 MM</t>
  </si>
  <si>
    <t>M S ANGLE 75X75X6 MM</t>
  </si>
  <si>
    <t>Jointing kit 11KV ABC Cabl 3x25+1x35sqmm</t>
  </si>
  <si>
    <t>M S CHANNEL 75X40 MM CP</t>
  </si>
  <si>
    <t>M.S.FLATE 50X6 MM CP</t>
  </si>
  <si>
    <t>Concreting of pole @ 0.3 Cmt and 0.2 Cmt per stay</t>
  </si>
  <si>
    <t>Earthing Set (Coil earth as per Drawing No.-G/007)</t>
  </si>
  <si>
    <t xml:space="preserve">Red Oxide paint </t>
  </si>
  <si>
    <t>Labour charges as per Sch. No - CL-2</t>
  </si>
  <si>
    <t xml:space="preserve">Transport charges upto 50 Kms average lead from Area stores to construction camp incl. site transport (Transport Sch T-1) </t>
  </si>
  <si>
    <t>Cost per DP for non-guaranteed works (Rounded off)</t>
  </si>
  <si>
    <t>COST SCHEDULE C-3</t>
  </si>
  <si>
    <t xml:space="preserve">H-BEAM 152x152 mm 37.1 Kg /Mtr 11.0 Mtr long i.e. 408.1 Kg/pole x 12 Nos = 4897.2 Kgs  </t>
  </si>
  <si>
    <t>11 kV Top clamp Angle type with cleat</t>
  </si>
  <si>
    <t>RM</t>
  </si>
  <si>
    <t>RCC pipe Type NP - 3 (2.5 mtr long)</t>
  </si>
  <si>
    <t>Strain Plate (65x8 mm) for 33 kV</t>
  </si>
  <si>
    <t xml:space="preserve">Back Clamp for Cross Arm </t>
  </si>
  <si>
    <t xml:space="preserve">11 kV DO Fuse unit </t>
  </si>
  <si>
    <t>33 kV CTPT Unit 200-100/5 A</t>
  </si>
  <si>
    <t>11 kV CTPT Unit 200-100/5 A</t>
  </si>
  <si>
    <t>3 Ø 4 Wire 0.5S with DLMS Protocol category A</t>
  </si>
  <si>
    <t>Marshelling Box</t>
  </si>
  <si>
    <t>LT 3 phase 5 Wire Aerial Bunched Cable of Size 3X50+1X25+1x35</t>
  </si>
  <si>
    <t>LT 3 phase 5 Wire Aerial Bunched Cable of Size 3X70+1x16+1x50</t>
  </si>
  <si>
    <t>(iv) Stay Clamp for PCC Pole</t>
  </si>
  <si>
    <t>Concreting of supports Rail / H-Beam / PCC Pole @ 0.6 Cmt. Per Pole &amp; @ 0.2 Cmt. Per Stay and @ 0.05 Cmt per pole for base padding</t>
  </si>
  <si>
    <t>(ii) 63 kVA TRANSFORMER (4 STAR)</t>
  </si>
  <si>
    <t>365 Kg 11 Mtr long PCC Pole</t>
  </si>
  <si>
    <t xml:space="preserve">365 Kg; 11 Mtr long PCC Pole </t>
  </si>
  <si>
    <t>New introduced</t>
  </si>
  <si>
    <t>CONTROL CABLE COP 10CORE 2.5SQMM PVC/PVC</t>
  </si>
  <si>
    <t>CONTROL CABLE COP 12CORE 2.5SQMM PVC/PVC</t>
  </si>
  <si>
    <t>ALUMINIUM 1C 16 SQ MM UNARMOURED LT PVC</t>
  </si>
  <si>
    <t>ALUMINIUM 1C 50 SQ MM UNARMOURED LT PVC</t>
  </si>
  <si>
    <t>ALUMINIUM 1C 70 SQ MM UNARMOURED LT PVC</t>
  </si>
  <si>
    <t>ALUMINIUM 1C 150 SQ MM UNARMOURED LT PVC</t>
  </si>
  <si>
    <t>ALUMINIUM 1C 300 SQ MM UNARMOURED LT PVC</t>
  </si>
  <si>
    <t>ALUMINIUM 1C 400 SQ MM UNARMOURED LT PV</t>
  </si>
  <si>
    <t>POWERCABLE ARM ALU 3.5CORE 70/35SQMM PVC</t>
  </si>
  <si>
    <t>POWERCABLE ARM ALU 3.5CORE 150/70SQMM PV</t>
  </si>
  <si>
    <t>Power Cable ARM ALU 3.5CORE 300/150SQMM</t>
  </si>
  <si>
    <t>16,0 SQMM, 4 CORE, ARMOURED AL. CABLE</t>
  </si>
  <si>
    <t>33KV ABC TERMINATION KIT 95-120 SQMM</t>
  </si>
  <si>
    <t>33KV ABC TERMINATION KIT 185 SQMM</t>
  </si>
  <si>
    <t>33KV ABC TERMINATION KIT 240 SQMM</t>
  </si>
  <si>
    <t>STRAIGHT LINE SUSPENSION ASSEMBLY FOR AL</t>
  </si>
  <si>
    <t>11KV ABC T-JOINTING KIT 35-70 SQMM</t>
  </si>
  <si>
    <t>11KV ABC T-JOINTING KIT 95-120 SQMM</t>
  </si>
  <si>
    <t>Stringing Charges as per Labour Rate Schedule AL-1</t>
  </si>
  <si>
    <t xml:space="preserve">Cost per Km </t>
  </si>
  <si>
    <t>COST SCHEDULE  C-3 (D)</t>
  </si>
  <si>
    <t>SCHEDULE  FOR  AUGMENTATION  OF 1 kM OF 11 kV LINE  FROM  WEASEL TO  RABBIT CONDUCTOR</t>
  </si>
  <si>
    <t>Rabbit Conductor</t>
  </si>
  <si>
    <t>Stringing Charges as per Labour Rate Schedule CL-1</t>
  </si>
  <si>
    <t>COST  SCHEDULE C-3 (E)</t>
  </si>
  <si>
    <t>COST  PER  KM  OF  11 kV  OVERHEAD  XLPE  CABLE  LINE  ON  H - BEAM  POLE WITH  AVERAGE  SPAN  30 MTRS.</t>
  </si>
  <si>
    <t>Assumed as if cable length is 500 Mtr. in one stroke.</t>
  </si>
  <si>
    <t xml:space="preserve">H-BEAM 152x152 mm 37.1 Kg /Mtr 11.0 Mtr long i.e. 408.1 Kg/pole x 33 Nos = 13467.3 Kgs  </t>
  </si>
  <si>
    <t>11 kV XLPE 3 Core Cable 120 sqmm (incl. sag 6%)</t>
  </si>
  <si>
    <t>11 kV End Termination kit for XLPE Cable 150 sqmm</t>
  </si>
  <si>
    <t>11 kV  Straight thru' joint kit suitable for 120 sqmm Cable</t>
  </si>
  <si>
    <t>D.C.Cross Arm 5.2 Mtr. Channel</t>
  </si>
  <si>
    <t>Dead end clamp / Anchor clamp assembly</t>
  </si>
  <si>
    <t xml:space="preserve">Suspension clamp assembly </t>
  </si>
  <si>
    <t>Stay set without stay wire 20 mm</t>
  </si>
  <si>
    <t>Stay wire 7/8 SWG 10 kg/stay</t>
  </si>
  <si>
    <t>Stay clamp for H-Beam</t>
  </si>
  <si>
    <t>Clamp for H-Beam</t>
  </si>
  <si>
    <t>M.S.Angle 65x65x6 mm</t>
  </si>
  <si>
    <t>Earthing Coil</t>
  </si>
  <si>
    <t>Concreting of Pole @ 0.65 Cmt per pole and 0.3 Cmt per stay</t>
  </si>
  <si>
    <t>Labour charges 7% of material cost</t>
  </si>
  <si>
    <t xml:space="preserve">Transport charges upto 50 Kms average lead from Area stores to construction camp including site transport (Transport Sch. T-1) </t>
  </si>
  <si>
    <t>3% of material cost</t>
  </si>
  <si>
    <t>21.45</t>
  </si>
  <si>
    <t xml:space="preserve">Service in lieu of Earthing Coal &amp; Salt etc </t>
  </si>
  <si>
    <t>Angle line Suspension Assembly (Suitable for all size cable)</t>
  </si>
  <si>
    <t>COST SCHEDULE   C-4</t>
  </si>
  <si>
    <t>H-BEAM 152x152 mm 37.1 Kg /Mtr 11.0 Mtr long i.e. 408.1 Kg/pole x 2 Nos = 816.2 Kgs</t>
  </si>
  <si>
    <t>DC Cross Arm of 100x50 mm channel (4'/1.2 Mtr. Centre)</t>
  </si>
  <si>
    <t xml:space="preserve">Horizontal &amp; Cross Bracing 4' center with set of 4 back clamp </t>
  </si>
  <si>
    <t xml:space="preserve"> Back Clamp for Pole</t>
  </si>
  <si>
    <t xml:space="preserve">(I) Stay set 16 mm </t>
  </si>
  <si>
    <t>(II) Stay Wire 7/10 SWG @ 8.5 Kg per stay</t>
  </si>
  <si>
    <t>(III) Stay Clamp</t>
  </si>
  <si>
    <t>Concreting of pole @ 0.6 Cmt and 0.2 Cmt per stay and 0.05 Cmt for base padding</t>
  </si>
  <si>
    <t>Labour charges as per Sch No.- CL-5</t>
  </si>
  <si>
    <t>COST SCHEDULE C-5</t>
  </si>
  <si>
    <t>1 kM OF 11 kV LINE ON 175x85 MM R.S. JOIST WITH MAXIMUM OF 65 Mtrs. SPAN USING RABBIT AND WEASEL CONDUCTOR</t>
  </si>
  <si>
    <t xml:space="preserve">R.S. Joist (175X85) mm 11 Mtr. Long i.e. 19.495 kg/mtr x 11 Mtr = 214.44 kg x 12 No = 2573.28 Kgs </t>
  </si>
  <si>
    <t>Earthing Set (Coil earth as per Drawing No:-G/007)</t>
  </si>
  <si>
    <t xml:space="preserve">Jointing sleeves suitable for 80 Sq.mm. Al Eq. ACSR Conductor  </t>
  </si>
  <si>
    <t xml:space="preserve">(ii) Stay Wire 7/10 SWG @ 8.5 Kg/Stay </t>
  </si>
  <si>
    <t>1 KM OF 11 kV LINE ON H-BEAM / PCC POLE SUPPORT WITH MAXIMUM OF 80 Mtrs SPAN USING RABBIT  CONDUCTOR</t>
  </si>
  <si>
    <t>11 kV DP STRUCTURE ON H-BEAM / PCC POLE SUPPORT (TO BE SUPPLEMENTED WITH EVERY 1.0 Kms OF LINE)</t>
  </si>
  <si>
    <t>1 Km  OF  11 kV  LINE  ON 365 kG 11 Mtr.  LONG PCC POLE  USING  RACCOON / DOG  CONDUCTOR  MAXIMUM SPAN  80  METER.</t>
  </si>
  <si>
    <t xml:space="preserve">11 kV MEDP STRUCTURE ON H-BEAM POLE, 11 METER LONG (TO BE SUPPLEMENTED FOR H.T. CONNECTION) </t>
  </si>
  <si>
    <t>LT Feeder Piller box for 1 phase 12 connection made of M.S.Sheet.</t>
  </si>
  <si>
    <t xml:space="preserve">LT Feeder Piller box for 3 phase 4 connection made of M.S.Sheet. </t>
  </si>
  <si>
    <t>LT Feeder Piller box for 3 phase 8 connection made of M.S.Sheet.</t>
  </si>
  <si>
    <t>L.T.Line Spacers</t>
  </si>
  <si>
    <t>GSM Modem</t>
  </si>
  <si>
    <t>10 Sq mm</t>
  </si>
  <si>
    <t>16 Sq mm</t>
  </si>
  <si>
    <t>25 Sq mm</t>
  </si>
  <si>
    <t>32 Sq mm</t>
  </si>
  <si>
    <t>50 Sq mm</t>
  </si>
  <si>
    <t>70 Sq mm</t>
  </si>
  <si>
    <t>95 Sq mm</t>
  </si>
  <si>
    <t>120 Sq mm</t>
  </si>
  <si>
    <t>150 Sq mm</t>
  </si>
  <si>
    <t>(i) Stay Clamp For "H" Beam</t>
  </si>
  <si>
    <t>Concreting of supports H-Beam @ 0.6 Cmt. Per Pole &amp; @ 0.2 Cmt. Per Stay  and 0.05 Cmt per pole for base padding</t>
  </si>
  <si>
    <t>Cmt.</t>
  </si>
  <si>
    <t xml:space="preserve">Guarding </t>
  </si>
  <si>
    <t>(i) 11 kV Guarding Channel 100x50 mm</t>
  </si>
  <si>
    <t>(iv) Stay Wire 7/10 SWG @ 8.5 Kg/Stay</t>
  </si>
  <si>
    <t>(v) Stay set 16 mm with turn buckle without stay wire</t>
  </si>
  <si>
    <t xml:space="preserve">(vi) I- Bolt Big Size </t>
  </si>
  <si>
    <t>Labour charges as per Sch No - CL-4</t>
  </si>
  <si>
    <t xml:space="preserve">Total (rounding off)  </t>
  </si>
  <si>
    <t xml:space="preserve">Grand Total  </t>
  </si>
  <si>
    <t>(iii) Stay Clamp for R.S. Joist</t>
  </si>
  <si>
    <t>Concreting of pole @ 0.3 Cmt and 0.2 Cmt per stay &amp; pole base padding @ 0.05 cmt/pole</t>
  </si>
  <si>
    <t>Aluminium Paint</t>
  </si>
  <si>
    <t>Labour charges as per Sch. No. CL-6</t>
  </si>
  <si>
    <t>Note: - (1) Schedule C-2 is to be supplemented with every 1.0 Km. 11 kV line.</t>
  </si>
  <si>
    <t xml:space="preserve">    (2) All the rates are with considering price variation clause.</t>
  </si>
  <si>
    <t>COST SCHEDULE   C-6</t>
  </si>
  <si>
    <t>11 kV  DP  STRUCTURE  ON  175X85  MM R.S. JOIST  (TO BE SUPPLEMENTED WITH EVERY 1.0 Kms OF LINE)</t>
  </si>
  <si>
    <t>Sl. No.</t>
  </si>
  <si>
    <t>11/0.4 kV OUT DOOR SUB-STATION (USING H-BEAM POLE FOR  25 / 63 / 100 / 200 kVA TRANSFORMER AND 3.5 CORE PVC CABLE)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</si>
  <si>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</si>
  <si>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</si>
  <si>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</si>
  <si>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</si>
  <si>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</si>
  <si>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</si>
  <si>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</si>
  <si>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</si>
  <si>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</si>
  <si>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>(i) Stay Clamp for "H" Beam</t>
  </si>
  <si>
    <t>12x65 mm</t>
  </si>
  <si>
    <t>12x120 mm</t>
  </si>
  <si>
    <t>12x140 mm</t>
  </si>
  <si>
    <t>16x100 mm</t>
  </si>
  <si>
    <t>16x250 mm</t>
  </si>
  <si>
    <t>16x300 mm</t>
  </si>
  <si>
    <t>20x75 mm</t>
  </si>
  <si>
    <t>20x90 mm</t>
  </si>
  <si>
    <t>20x110 mm</t>
  </si>
  <si>
    <t>24x120 mm</t>
  </si>
  <si>
    <t>G.I. Spring Washer</t>
  </si>
  <si>
    <t>Gl Pipe 40 mm</t>
  </si>
  <si>
    <t>Per Mtr</t>
  </si>
  <si>
    <t>Danger board 33 kV &amp; 11 kV</t>
  </si>
  <si>
    <t>Earthing set (Pipe earth as per DRG No.-G/008)</t>
  </si>
  <si>
    <t>33KV CT's (100-50/5)A oil filled OD Type</t>
  </si>
  <si>
    <t>33 kV ABC Termination kit 185 sqmm</t>
  </si>
  <si>
    <t xml:space="preserve">Transport charges upto 50 Kms average lead from Area stores to construction camp inc. site transport (Transport Sch T-1) - Taken 5% of </t>
  </si>
  <si>
    <t>Cost per Pole for non-guaranteed works</t>
  </si>
  <si>
    <t>COST SCHEDULE  C-10</t>
  </si>
  <si>
    <t>AUGMENTATION OF 11/0.4 kV SUB-STATION CAPACITY (ASSUMING 25 YEARS OF LIFE &amp; 10 YEARS IN SERVICE)</t>
  </si>
  <si>
    <t xml:space="preserve">                (2) Single RS Joist175x85 mm may be used in place of PCC pole for 25/63 kVA Transformer</t>
  </si>
  <si>
    <t>D Transformer Mounting 100x50 mm Channel</t>
  </si>
  <si>
    <t>Transformer Mounting with Belting for Addl. X-Arm</t>
  </si>
  <si>
    <t>I-Bolt - 16 mm</t>
  </si>
  <si>
    <t>Stay Set 16 mm (Painted) LT &amp; 11 KV</t>
  </si>
  <si>
    <t>Stay Set 20 mm (Painted)</t>
  </si>
  <si>
    <t>Stay Wire 7/4.00 mm (7/8 SWG)</t>
  </si>
  <si>
    <t>Stay Wire 7/3.15 mm (7/10 SWG)</t>
  </si>
  <si>
    <t>Earthing Rod 25 mm 1.2 Mtr.</t>
  </si>
  <si>
    <t>G.I.Wire 3.15 mm (10 SWG)</t>
  </si>
  <si>
    <t>G.I.Wire 4.0 mm (8 SWG)</t>
  </si>
  <si>
    <t>G.I.Wire 5.0 mm (6 SWG)</t>
  </si>
  <si>
    <t>Jointing kit 11 kV ABC Cable DEAD END ASM</t>
  </si>
  <si>
    <t>12.1 kV,1815 kVAr, 3-Phase, 50 Hz, Outdoor Type , Capacitor bank having  step as  363 Kvar + 726 Kvar+ 726  Kvar 12.1 KV. Bank shall be complete with Capacitor units of 121 KVAr at 6.98 KV, including allied material such as suitable size of Aluminium busbars, Pin/Post insulators, Expulsion fuses, Cable Jointing Kit, Nuts &amp; Botls etc.</t>
  </si>
  <si>
    <t>12.1 kV,1089 KVAr, 3-Phase, 50 Hz, Outdoor Type , Capacitor bank having  step as 363 Kvar + 726 Kvar 12.1 KV . Bank shall be complete with Capacitor units of 121 kVAr at 6.98 KV, including allied material such as suitable size of Aluminium busbars, Pin/Post insulators, Expulsion fuses, Cable Jointing Kit, Nuts &amp; Botls etc.</t>
  </si>
  <si>
    <t>11 kV, Aluminium Wound, Dry type Series reactors</t>
  </si>
  <si>
    <t>0.2% Reactor suitable for 363 Kvar step</t>
  </si>
  <si>
    <t>0.2% Reactor suitable  for 726 Kvar step</t>
  </si>
  <si>
    <t>11 kV, 3-Phase Oil-Cooled RVT</t>
  </si>
  <si>
    <t>12 kV, Outdoor type Vacuum Capacitor switches</t>
  </si>
  <si>
    <t>Nos.</t>
  </si>
  <si>
    <t>11 kV, 400 Amp, Off Load Isolator with earth switch and mounting GI structure</t>
  </si>
  <si>
    <t>set of 3</t>
  </si>
  <si>
    <t xml:space="preserve">11 kV 3 phase Aerial Bunched Cable 3x70 + 70 Sq mm </t>
  </si>
  <si>
    <t xml:space="preserve">11 kV 3 phase Aerial Bunched Cable 3x95 + 95 Sq mm </t>
  </si>
  <si>
    <t xml:space="preserve">11 kV 3 phase Aerial Bunched Cable 3x120 + 120 Sq mm </t>
  </si>
  <si>
    <t>11 kV AB Cable Straight thru' joint kit suitable for 35-70 sqmm</t>
  </si>
  <si>
    <t>11 kV AB Cable Straight thru' joint kit suitable for 95-120 sqmm</t>
  </si>
  <si>
    <t>11 kV ABC Termination kit 35-70 sqmm</t>
  </si>
  <si>
    <t>11 kV ABC Termination kit 95-120 sqmm</t>
  </si>
  <si>
    <t>LT 1 phase 3 Wire Aerial Bunched Cable of Size 1X25+1X16+1x25</t>
  </si>
  <si>
    <t>LT 3 phase 5 Wire Aerial Bunched Cable of Size 3X16+1X16+1x25</t>
  </si>
  <si>
    <t>35 Sqmm.</t>
  </si>
  <si>
    <t>50 Sqmm.</t>
  </si>
  <si>
    <t>70 Sqmm.</t>
  </si>
  <si>
    <t>120 Sqmm.</t>
  </si>
  <si>
    <t>150 Sqmm.</t>
  </si>
  <si>
    <t>300 Sqmm.</t>
  </si>
  <si>
    <t>16.0 Sqmm.</t>
  </si>
  <si>
    <t>km</t>
  </si>
  <si>
    <t>T.W.METER BOARD, 300X300X75 MM, COATED W</t>
  </si>
  <si>
    <t>Meter Box (GI Plain Sheet) for 3 Ph LTCT</t>
  </si>
  <si>
    <t>LTCT METER WITH DLMS</t>
  </si>
  <si>
    <t>Barbed Wire (@ 3.5 Kg/Pole)</t>
  </si>
  <si>
    <t>Suspension Clamp Assembly with Hook bracket &amp; Pole Clamp</t>
  </si>
  <si>
    <t>Tension/Dead end Clamp Assembly with Hook bracket &amp; Pole Clamp</t>
  </si>
  <si>
    <t>M.S. sheet meter piller box</t>
  </si>
  <si>
    <t xml:space="preserve">Metal Halide light lamp  </t>
  </si>
  <si>
    <t>Stay Clamp for 280 kG. PCC Pole</t>
  </si>
  <si>
    <t>Stay Clamp Rail "A" type</t>
  </si>
  <si>
    <t>Stay Clamp for R.S.Joist "A" type</t>
  </si>
  <si>
    <t>Stay Clamp Rail "B" type</t>
  </si>
  <si>
    <t>Back Clamp Rail for H-Beam</t>
  </si>
  <si>
    <t>L.T. 3 Pin Cross Arm 50x50x6 mm</t>
  </si>
  <si>
    <t>L.T. 4 Pin Cross Arm 50x50x6 mm</t>
  </si>
  <si>
    <t>L.T. 5 Pin Cross Arm 50x50x6 mm</t>
  </si>
  <si>
    <t>11 kV Cross Arm Cleat type</t>
  </si>
  <si>
    <t>Lightning Arrestor Structure</t>
  </si>
  <si>
    <t>11 kV Guarding Channel 100x50 mm</t>
  </si>
  <si>
    <t>D.O. Mounting Channel 75x40 mm</t>
  </si>
  <si>
    <t>D.C.Cross arm 4' Centre 100x50 mm Channel 2 Nos.</t>
  </si>
  <si>
    <t xml:space="preserve">D.C.Cross arm 4' Centre 75x40 mm Channel </t>
  </si>
  <si>
    <t xml:space="preserve">D.C.Cross arm 4' Centre Angle 100x100x6 mm  </t>
  </si>
  <si>
    <t>D.C.Cross arm 8' Centre 100x50 mm  Channel</t>
  </si>
  <si>
    <t>33 kV Cross Arm 75x75x6 mm</t>
  </si>
  <si>
    <t>(ii)  63 kVA TRANSFORMER  (4 STAR)</t>
  </si>
  <si>
    <t>Earlier- 3-Star X-mer</t>
  </si>
  <si>
    <t>Earlier- 11 kV Lightning Arrestor</t>
  </si>
  <si>
    <t>11 kV Polymer Lightning Arrestors</t>
  </si>
  <si>
    <t>70 Sqmm Single core XLPE insulated unarmoured Al. Conductor cable</t>
  </si>
  <si>
    <t>150 Sqmm Single core XLPE insulated unarmoured Al. Conductor cable</t>
  </si>
  <si>
    <t>7131950063801</t>
  </si>
  <si>
    <t>7131950105901</t>
  </si>
  <si>
    <t>7131950200001</t>
  </si>
  <si>
    <t>Labour charges as per Sch. CL-10(B)</t>
  </si>
  <si>
    <t xml:space="preserve">SUB TOTAL-3 </t>
  </si>
  <si>
    <t>T.C. Fuse Wire 16 SWG</t>
  </si>
  <si>
    <t>T.C. Fuse Wire 14 SWG</t>
  </si>
  <si>
    <t>T.C. Fuse Wire 12 SWG</t>
  </si>
  <si>
    <t>T.C. Fuse Wire 10 SWG</t>
  </si>
  <si>
    <t>Porcelain Kit-kat fuse unit 32 Amps.</t>
  </si>
  <si>
    <t>Porcelain Kit-kat fuse unit 63 Amps.</t>
  </si>
  <si>
    <t>R.S. Joist (175x85 mm) 11 Mtr Long i.e. 214.44 Kg/pole @ 19.495 Kg/Mtr. i.e.214.44x2 No pole=428.89 Kgs</t>
  </si>
  <si>
    <t xml:space="preserve">Horizontal &amp; Cross Bracing 4' Center with set of 4 back clamp </t>
  </si>
  <si>
    <t>(i) Stay set 16 mm</t>
  </si>
  <si>
    <t>(ii) Stay Wire 7/10 SWG @ 8.5 Kg per stay</t>
  </si>
  <si>
    <t>Concreting of pole @ 0.3 Cmt and 0.2 Cmt per stay &amp; pole base padding @ 0.05 Cmt/pole</t>
  </si>
  <si>
    <t>Earthing Set (Coil earth as per Drawing No - G/007)</t>
  </si>
  <si>
    <t>Labour charges as per Sch. No. CL-7</t>
  </si>
  <si>
    <t>11/0.4 kV OUT DOOR SUB-STATION (USING PCC POLE FOR 25/63 kVA TRANSFORMER &amp; DOUBLE WELDED R.S. JOIST 175x85 mm  FOR 100/200 kVA TRANSFORMER AND 3.5 CORE PVC INSULATED CABLE)</t>
  </si>
  <si>
    <t>25 kVA TRANSFORMER</t>
  </si>
  <si>
    <t>63 kVA TRANSFORMER</t>
  </si>
  <si>
    <t>100 kVA TRANSFORMER</t>
  </si>
  <si>
    <t>200 kVA TRANSFORMER</t>
  </si>
  <si>
    <t>Transformer 11/0.4 kV (Conventional)</t>
  </si>
  <si>
    <t>(i)   25 kVA TRANSFORMER  (4 STAR)</t>
  </si>
  <si>
    <t>(iii) 100 kVA TRANSFORMER (4 STAR)</t>
  </si>
  <si>
    <t>(iv)  200 kVA TRANSFORMER (4 STAR)</t>
  </si>
  <si>
    <t>Bin Code No.</t>
  </si>
  <si>
    <t>Rate</t>
  </si>
  <si>
    <t>Single Pole Cut Point Fitting 100x50 mm</t>
  </si>
  <si>
    <t>Transport Charges</t>
  </si>
  <si>
    <t>Service in lieu of Concreting</t>
  </si>
  <si>
    <t>GRAND TOTAL</t>
  </si>
  <si>
    <t>GRAND TOTAL (Round Off)</t>
  </si>
  <si>
    <t>Qty.</t>
  </si>
  <si>
    <t>HDPE Pipe 200 mm ID; 240 mm OD</t>
  </si>
  <si>
    <t xml:space="preserve">Jointing arrangement of HDPE Pipe </t>
  </si>
  <si>
    <t>GI pipe 200 mm for 400 sqmm cable of dia 105 mm</t>
  </si>
  <si>
    <t>Caping of HDPE Pipe on both end of pipe with Concreting and Bricks work</t>
  </si>
  <si>
    <t>Jointing arrangement of HDPE Pipe</t>
  </si>
  <si>
    <t>G.I. Pipe 200 mm for 400 mm cable of dia 105 mm</t>
  </si>
  <si>
    <t>Caping of HDPE Pipe on both end of pipe with concreting and bricks work.</t>
  </si>
  <si>
    <t>M.S.Pipe 200 mm dia with collars</t>
  </si>
  <si>
    <t>River sand</t>
  </si>
  <si>
    <t>Cement in 50 kg bags</t>
  </si>
  <si>
    <t>Bags</t>
  </si>
  <si>
    <t>Route &amp; joint indicating stone with M.S. anchor rod</t>
  </si>
  <si>
    <t>Cable covering tiles 250x250x40 mm</t>
  </si>
  <si>
    <t>Per 1000</t>
  </si>
  <si>
    <t xml:space="preserve">Stay Clamp </t>
  </si>
  <si>
    <t>Cost per DP for non-guaranteed works</t>
  </si>
  <si>
    <t>Cost per Km for non-guaranteed works</t>
  </si>
  <si>
    <t>Cost per Km for non-guaranteed works (Rounded off)</t>
  </si>
  <si>
    <t>(ii) G.I. Wire 8 SWG</t>
  </si>
  <si>
    <t>S. No.</t>
  </si>
  <si>
    <t>16x65 mm</t>
  </si>
  <si>
    <t>16x90 mm</t>
  </si>
  <si>
    <t>16x140 mm</t>
  </si>
  <si>
    <t>16x160 mm</t>
  </si>
  <si>
    <t>(i) Stay set 20 mm</t>
  </si>
  <si>
    <t>Cement @ 208 Kg/cmt</t>
  </si>
  <si>
    <t xml:space="preserve">Danger Board </t>
  </si>
  <si>
    <t>(ii) Stay Clamp for Rail Pole A Type</t>
  </si>
  <si>
    <t>(iii) Stay Clamp for Rail Pole B Type</t>
  </si>
  <si>
    <t>16x200 mm</t>
  </si>
  <si>
    <t>Cement @ 208 Kg/Cmt</t>
  </si>
  <si>
    <t>LT 3 phase 5 Wire Aerial Bunched Cable of Size 3X95+1x16+1x50</t>
  </si>
  <si>
    <t>LT 3 phase 5 Wire Aerial Bunched Cable of Size 3X95+1x16+1x70</t>
  </si>
  <si>
    <t>LT 3 phase 5 Wire Aerial Bunched Cable of Size 3X95+1x35+1x70</t>
  </si>
  <si>
    <t>Suspension Clamp (Suitable for all size cable)</t>
  </si>
  <si>
    <t>Distribution box 1 ph. 4 connectors</t>
  </si>
  <si>
    <t>Distribution box 3 phase 2 connectors</t>
  </si>
  <si>
    <t>Spring loaded distribution box for service connection with stainless steel buckle.</t>
  </si>
  <si>
    <t>Piercing connector for services 16-50 Sq. mm Tap off 2.5-16 Sq. mm</t>
  </si>
  <si>
    <t>Piercing connector suitable for 16 Sq.mm-95 Sq.mm AB Cable-Service connections</t>
  </si>
  <si>
    <t>Piercing connector for Main 16-50 Sq. mm Tap off 16-50 Sq. mm.</t>
  </si>
  <si>
    <t>Piercing connector suitable for 25 Sq.mm-95 Sq.mm AB Cable-main to main connections</t>
  </si>
  <si>
    <t>Piercing connector suitable for 50 Sq.mm-150 Sq.mm AB Cable-main to main connections</t>
  </si>
  <si>
    <t>MS Nuts &amp; Bolts</t>
  </si>
  <si>
    <t xml:space="preserve">Electrically insulated 11 kV mats infront of electrical control panel </t>
  </si>
  <si>
    <t>Cross Arm Clamp</t>
  </si>
  <si>
    <t>11 kV Top clamp angle type with cleat</t>
  </si>
  <si>
    <t>Earthing Set (Coil earth as per Drawing No:-G/007</t>
  </si>
  <si>
    <t>16</t>
  </si>
  <si>
    <t>Distribution box 3 phase 5 connectors along with 2 Nos. Steel Strap &amp; Buckles.</t>
  </si>
  <si>
    <t>140 Kg, 8.0 Mtr long PCC Poles</t>
  </si>
  <si>
    <t>11 kV "V" cross arm 65x65x6 mm angle type with back cleat</t>
  </si>
  <si>
    <t>Mtr</t>
  </si>
  <si>
    <t>kg</t>
  </si>
  <si>
    <t>Qty</t>
  </si>
  <si>
    <t xml:space="preserve">New SAP Bin Code </t>
  </si>
  <si>
    <t>Service in lieu of concreting metal &amp; sand only</t>
  </si>
  <si>
    <t>(ii) Stay Wire 7/10 SWG @ 5.5 Kg per stay</t>
  </si>
  <si>
    <t>Concreting of supports @ 0.3 Cmt/pole &amp; @ 0.2 Cmt/Stay &amp; base padding @ 0.05 Cmt per pole</t>
  </si>
  <si>
    <t>(i) Cement @ 208 Kg/cmt</t>
  </si>
  <si>
    <t>Transformer belting with 50x50x6 mm angle with 2 cross fixing channel.</t>
  </si>
  <si>
    <t>Transformer mounting cross arm 100x50 mm channel.</t>
  </si>
  <si>
    <t>Earthing set (Pipe earth as per drg. No.-G/008) (material + Services)</t>
  </si>
  <si>
    <t>(i) G.I.Pipe 40 mm</t>
  </si>
  <si>
    <t>(ii) G.I.Wire 8 SWG</t>
  </si>
  <si>
    <t xml:space="preserve">TPN switch fuse unit (63 Amps) </t>
  </si>
  <si>
    <t>PVC insulated 4 Core cable</t>
  </si>
  <si>
    <t>16 Sqmm (Armoured)</t>
  </si>
  <si>
    <t xml:space="preserve">70 Sqmm </t>
  </si>
  <si>
    <t>150 Sqmm</t>
  </si>
  <si>
    <t>300 Sqmm</t>
  </si>
  <si>
    <t>LT distribution box suitable for transformer with isolator on incoming side &amp; SPMCCB's on outgoing side</t>
  </si>
  <si>
    <t>63 kVA</t>
  </si>
  <si>
    <t>100 kVA</t>
  </si>
  <si>
    <t>200 kVA</t>
  </si>
  <si>
    <t>11 kV A.B. Switch</t>
  </si>
  <si>
    <t>Service in lieu of Earthing Coal &amp; Sand etc</t>
  </si>
  <si>
    <t>Labour charges as per Sch CL-3</t>
  </si>
  <si>
    <t xml:space="preserve">Transport charges upto 50 Kms average lead from Area stores to construction camp including site transport                                                                                  (Transport Sch T-1) </t>
  </si>
  <si>
    <t>Cost per S/s for non-guaranteed works</t>
  </si>
  <si>
    <t>Note (A) :-   (1) All the rates are with considering price variation clause.</t>
  </si>
  <si>
    <t>(2) Single RS Joist 175x85 mm may be used in place of PCC pole for 25/63 kVA Transformer</t>
  </si>
  <si>
    <t>Note (B) :- A Capacitor is to be installed of appropriate capacity on the transformer in case of estimate prepared for Irrigation Pump.</t>
  </si>
  <si>
    <t>Service Ring</t>
  </si>
  <si>
    <t xml:space="preserve">Straight through joints </t>
  </si>
  <si>
    <t>End cap for 50/70 Sq.mm</t>
  </si>
  <si>
    <t>SHACKEL INSULATORS 90 x 75 mm.</t>
  </si>
  <si>
    <t>Stay insulators.</t>
  </si>
  <si>
    <t>GI Pin for 11 KV Pin insulator</t>
  </si>
  <si>
    <t>GI Pin for 33 KV Pin insulator</t>
  </si>
  <si>
    <t>Aluminium Bobbin.</t>
  </si>
  <si>
    <t>7H.W. 50X65MM LT SHACKLE INSULATOR CMPLT</t>
  </si>
  <si>
    <t>HARDWARE FOR 75X90MM LTSHACKLE INSULATOR</t>
  </si>
  <si>
    <t>11 KV Strain hardware fittings.</t>
  </si>
  <si>
    <t>33 KV Strain hardware fittings.</t>
  </si>
  <si>
    <t>SSH ASSEMBLY WITH ARCING HORN FOR PANTHE</t>
  </si>
  <si>
    <t>BINDING WIRE</t>
  </si>
  <si>
    <t>CONDUCTOR AAA SQURREL</t>
  </si>
  <si>
    <t>CONDUCTOR AAA WEASEL</t>
  </si>
  <si>
    <t>CONDUCTOR AAA RABBIT</t>
  </si>
  <si>
    <t>CONDUCTOR AAA RACOON</t>
  </si>
  <si>
    <t>JOINTING SLEEVE FOR RACCOON CONDUCTOR</t>
  </si>
  <si>
    <t>JOINTING SLEEVE FOR DOG CONDUCTOR</t>
  </si>
  <si>
    <t>ACSR CONDUCTOR 0.02 sqmm(20 Sqmm Al.Eq)</t>
  </si>
  <si>
    <t>ACSR CONDUCTOR 0.03 Sqmm (30 Sqmm AlEq)</t>
  </si>
  <si>
    <t>ACSR CONDUCTOR 0.05 Sqmm (50 Sqmm Al q)</t>
  </si>
  <si>
    <t>ACSR CONDUCTOR 0.075 Sqmm (80 Sqmm Al.E</t>
  </si>
  <si>
    <t>ACSR CONDUCTOR 0.10 Sqmm (100 Sqmm lEq)</t>
  </si>
  <si>
    <t>CONDUCTOR ACSR PANTHER 130 sq mm</t>
  </si>
  <si>
    <t>CONDUCTOR AAA DOG</t>
  </si>
  <si>
    <t>T-CLAMPS FOR ACSR CONDUCTOR Dog Condutor</t>
  </si>
  <si>
    <t>T-CLAMPS FOR ACSR Raccoon Conductor.</t>
  </si>
  <si>
    <t>Bimetallic clamps for transformer &amp;kiosk</t>
  </si>
  <si>
    <t>SLEEVE JOINTING ALUMINIUM FOR 0.03SQ INC</t>
  </si>
  <si>
    <t>SLEEVE REPAIR ALUMINIUM FOR .2SQ INCH AC</t>
  </si>
  <si>
    <t>LIGHTNING ARRESTORS 30 KV gapless type</t>
  </si>
  <si>
    <t>LIGHTNING ARRESTORS11 KV gapless type.</t>
  </si>
  <si>
    <t>Transformer mounting 100 x 50 mm channel</t>
  </si>
  <si>
    <t>I bolt 16 mm Dia</t>
  </si>
  <si>
    <t>STAY SET WITHOUT STAY WIRE16mm Paint11KV</t>
  </si>
  <si>
    <t>STAY SET WITHOUT STAY WIRE 20mm (Painted</t>
  </si>
  <si>
    <t>STAY WIRES : - 7/4,00 MM (7/8 SWG).</t>
  </si>
  <si>
    <t>STAY WIRES: - 7/3,05 MM (7/10 SWG)</t>
  </si>
  <si>
    <t>EARTHING COIL 8SWG GI WIRE 50MM DIA 450M</t>
  </si>
  <si>
    <t>Earthing rod 25mm x 1.2 Mtrs.</t>
  </si>
  <si>
    <t>G.I. WIRES: - 3,15MM (10 SWG)</t>
  </si>
  <si>
    <t>G.I. WIRES: - 4,0MM (8 SWG)</t>
  </si>
  <si>
    <t>G.I. WIRES: - 5,0MM (6 SWG)</t>
  </si>
  <si>
    <t>DOUB TENS H/W FOR ZEB/ CAMEL COND S/S TY</t>
  </si>
  <si>
    <t>Jointing Kit&amp;HW LT ABC CableStraight Sus</t>
  </si>
  <si>
    <t>CABLE MARKER FOR U/G CABLE</t>
  </si>
  <si>
    <t>7130880041Danger boards 33KV &amp; 11 KV.</t>
  </si>
  <si>
    <t>M.S. SHEET METER PILLER BOX</t>
  </si>
  <si>
    <t>LT FEEDER PILLER BOX FOR 1PH 8 CONNECTIO</t>
  </si>
  <si>
    <t>LT FEEDER PILLER BOX FOR 3PH 4 CONNECTIO</t>
  </si>
  <si>
    <t>LT FEEDER PILLER BOX FOR 3PH 8 CONNECTIO</t>
  </si>
  <si>
    <t>LT LINE SPACERS</t>
  </si>
  <si>
    <t>GSM MODEM</t>
  </si>
  <si>
    <t>EYE HOOK</t>
  </si>
  <si>
    <t>33 KV guarding channel 100x50 mm.</t>
  </si>
  <si>
    <t>LAMP METAL HALIDE 250W</t>
  </si>
  <si>
    <t>METAL HALIDE LAMP 250 WATT</t>
  </si>
  <si>
    <t>LAMPS: -Tube Light (40 Watts.)</t>
  </si>
  <si>
    <t>250 WATT SODIUM VAPOUR LAMP WITH HOLDER</t>
  </si>
  <si>
    <t>MERCURY VAPOUR LAMP 250 WATTS 230/250 VO</t>
  </si>
  <si>
    <t>S/ V HIGH PRESSURE LAMP 400W 230/250V</t>
  </si>
  <si>
    <t>CFL 20 WATTS LAMP</t>
  </si>
  <si>
    <t>STREET LIGHT FITTING WITH TUBE LIGHT</t>
  </si>
  <si>
    <t>STREET LIGHT FITTING WITH CFL</t>
  </si>
  <si>
    <t>HPSV LAMP 150 WATT</t>
  </si>
  <si>
    <t>HPSV LAMP 250 WATT</t>
  </si>
  <si>
    <t>150 WATT METAL HALIDE HPSV FITTING</t>
  </si>
  <si>
    <t>250 WATT METAL HALIDE HPSV FITTING</t>
  </si>
  <si>
    <t>ENERGY METER ENECTRONIC 10-60 AMPS</t>
  </si>
  <si>
    <t>SUMMATION METER</t>
  </si>
  <si>
    <t>DC VOLT METER RANG -3V TO +5V</t>
  </si>
  <si>
    <t>STATIC ENERGY METER S.PH 2 WIRE 5-30 A</t>
  </si>
  <si>
    <t>Common Meter Reading Instrument CMRI</t>
  </si>
  <si>
    <t>HT TRIVECTOR METER 5 AMPS</t>
  </si>
  <si>
    <t>ELECTORNIC LTCT METER 3X4 100/5 A</t>
  </si>
  <si>
    <t>3PHASE 4WIRE HT TRIVECTOR STATIC (ELECTR</t>
  </si>
  <si>
    <t>3PHASE 4WIRE 1AMP HT TRIVECTOR STATIC (</t>
  </si>
  <si>
    <t>3PHASE 3WIRE 1AMP HT TRIVECTOR STATIC (</t>
  </si>
  <si>
    <t>TTB</t>
  </si>
  <si>
    <t>LT ELEC.STATIC METER3X4X20-100A WITHLUGS</t>
  </si>
  <si>
    <t>3 PHASE 4 WIRE LTCT OPERATED METER</t>
  </si>
  <si>
    <t>MULTIMETER ELECTRONIC DIGITAL</t>
  </si>
  <si>
    <t>MEGGER 1000VOLTS</t>
  </si>
  <si>
    <t>Poly Carbonate seals for meter</t>
  </si>
  <si>
    <t>Poly Carbonate seal double anker type</t>
  </si>
  <si>
    <t>LT Feeder Piller box for 1 phase 8 connection made of M.S.Sheet.</t>
  </si>
  <si>
    <t>Cost per S/s for non-guaranteed works (Round off)</t>
  </si>
  <si>
    <t>Cost per S/s for non-guaranteed works  (Round off)</t>
  </si>
  <si>
    <t>Grand Total  (Round off)</t>
  </si>
  <si>
    <t>11 kV 'V' Cross arm with back clamp</t>
  </si>
  <si>
    <t xml:space="preserve">Cost per Pole (Rounded off) </t>
  </si>
  <si>
    <t>11 kV Top clamp</t>
  </si>
  <si>
    <t xml:space="preserve">ACSR Raccoon conductor with 3% sag </t>
  </si>
  <si>
    <t xml:space="preserve">ACSR Dog conductor with 3% sag </t>
  </si>
  <si>
    <t xml:space="preserve">Jointing Sleeves suitable for Raccoon / Dog ACSR Conductor  </t>
  </si>
  <si>
    <t>(ii) Stay Wire 7/8 SWG @ 8.5 Kg per stay</t>
  </si>
  <si>
    <t>(i) Stay Clamp for Rail Pole A Type</t>
  </si>
  <si>
    <t>(ii) Stay Clamp for Rail Pole B Type</t>
  </si>
  <si>
    <t>COST  SCHEDULE C-3 (A)</t>
  </si>
  <si>
    <r>
      <t xml:space="preserve">                   </t>
    </r>
    <r>
      <rPr>
        <b/>
        <u val="single"/>
        <sz val="13"/>
        <rFont val="Arial"/>
        <family val="2"/>
      </rPr>
      <t xml:space="preserve"> ADDITIONAL (MID SPAN) POLES FOR  11 kV LINE</t>
    </r>
  </si>
  <si>
    <t xml:space="preserve">H-BEAM 152X152 MM 37.10 Kg/MTR  11.0 MTR LONG </t>
  </si>
  <si>
    <t xml:space="preserve">H-BEAM 152x152 mm 37.1Kg /Mtr 11.0 Mtr long i.e. 408.1 Kg/pole  </t>
  </si>
  <si>
    <t>11 kV Top Clamp Angle type with cleat</t>
  </si>
  <si>
    <t xml:space="preserve">11 kV G.I.Pin </t>
  </si>
  <si>
    <t>Cement @ 208 Kg / Cmt</t>
  </si>
  <si>
    <t>Labour charges as per Sch No. CL-4 (revised based on one pole)</t>
  </si>
  <si>
    <t>FUSE WIRE TINNED COPPER 10 SWG</t>
  </si>
  <si>
    <t>PORCELAIN KIT-KATS FUSE UNITS 32 Amps.</t>
  </si>
  <si>
    <t>PORCELAIN KIT-KATS FUSE UNITS 63 Amps.</t>
  </si>
  <si>
    <t>DIGITAL TONG TESTER 3 1/2 DIGITAL LCD DI</t>
  </si>
  <si>
    <t>HAND TORCH 3 CELLED</t>
  </si>
  <si>
    <t>DRY CHEMICAL POWER FIRE</t>
  </si>
  <si>
    <t>RIVER SAND</t>
  </si>
  <si>
    <t>OIL IMMERSED 3 PHASE CTPT UNITS 200/5</t>
  </si>
  <si>
    <t>CT/PT UNIT 33KV/110 V 400-200/5 A OIL</t>
  </si>
  <si>
    <t>VOLTAGE TRANSFORMER 11 K V/110 VOLTS SIN</t>
  </si>
  <si>
    <t>VOLTAGE TRANSFORMER 33KV/110VOLTS SINGLE</t>
  </si>
  <si>
    <t>VOLTAGE TRANSFORMER 132KV/110V SINGLE PH</t>
  </si>
  <si>
    <t>VOLTAGE X-MER 220KV/110-63.5V SINGLE PH</t>
  </si>
  <si>
    <t>SAFETY BELTS</t>
  </si>
  <si>
    <t>SAFETY HELMETS</t>
  </si>
  <si>
    <t>30 Volts 100 AH lead acid battery</t>
  </si>
  <si>
    <t>COST SCHEDULE  C-7 (A-2)</t>
  </si>
  <si>
    <t>COST SCHEDULE   C-7 (B-1)</t>
  </si>
  <si>
    <t xml:space="preserve">250 Watt Mercury Vapour </t>
  </si>
  <si>
    <t xml:space="preserve">250 Watt Metal Halide  </t>
  </si>
  <si>
    <t xml:space="preserve">250 Watt Sodium Vapour </t>
  </si>
  <si>
    <t>Halogen Filament (1000 Watts)</t>
  </si>
  <si>
    <t>Tube Light Rod (T5 type)</t>
  </si>
  <si>
    <t>Search Light Unit with 1000 Watt Halogen Lamp.</t>
  </si>
  <si>
    <t xml:space="preserve">Street Light fitting with tube light </t>
  </si>
  <si>
    <t>Street Light fitting with CFL</t>
  </si>
  <si>
    <t>HPSV lamp 150 watt</t>
  </si>
  <si>
    <t>HPSV Choke 250 watt</t>
  </si>
  <si>
    <t>150 Watt metal halide fitting / HPSV fitting</t>
  </si>
  <si>
    <t>250 Watt metal halide fitting / HPSV fitting</t>
  </si>
  <si>
    <t>Mercury vapour lamp for Gate lighting 2 Nos</t>
  </si>
  <si>
    <t>Aluminium binding wire and tape.</t>
  </si>
  <si>
    <t>Aluminium bobbin.</t>
  </si>
  <si>
    <t>Three Phase, 10-60 Amps. with poly carbonate Meter Box</t>
  </si>
  <si>
    <t>Three Phase, 20-100 Amps. with Meter Box with data storage.</t>
  </si>
  <si>
    <t>CT operated electronic static meters 100/5 Amp. With data storage.</t>
  </si>
  <si>
    <t>CT operated electronic static meters with DLMS.</t>
  </si>
  <si>
    <t>CT operated electronic static meters with AMR (Composite Unit).</t>
  </si>
  <si>
    <t>11 kV Polymeric Pin Insulator with Pin</t>
  </si>
  <si>
    <t>Cable marker for U/G cable</t>
  </si>
  <si>
    <t>End terminating jointing kit  for 240 sqmm XLPE cable</t>
  </si>
  <si>
    <t>1</t>
  </si>
  <si>
    <t>2</t>
  </si>
  <si>
    <t>3</t>
  </si>
  <si>
    <t>6</t>
  </si>
  <si>
    <t>M.S.Nuts and Bolts</t>
  </si>
  <si>
    <t>Each</t>
  </si>
  <si>
    <t xml:space="preserve">16 kVA (4 Star) Aluminium Wound </t>
  </si>
  <si>
    <t xml:space="preserve">25 kVA (4 Star) Aluminium Wound </t>
  </si>
  <si>
    <t xml:space="preserve">63 kVA (4 Star) Aluminium Wound </t>
  </si>
  <si>
    <t xml:space="preserve">100 kVA (4 Star) Aluminium Wound </t>
  </si>
  <si>
    <t xml:space="preserve">200 kVA (4 Star) Aluminium Wound </t>
  </si>
  <si>
    <t xml:space="preserve">16 kVA (3 Star) Copper Wound </t>
  </si>
  <si>
    <t xml:space="preserve">25 kVA (3 Star) Aluminium Wound </t>
  </si>
  <si>
    <t>63 kVA (3 Star) Aluminium Wound</t>
  </si>
  <si>
    <t>100 kVA (3 Star) Aluminium Wound</t>
  </si>
  <si>
    <t>200 kVA (3 Star) Aluminium Wound</t>
  </si>
  <si>
    <t>25 kVA (Conventional)</t>
  </si>
  <si>
    <t xml:space="preserve">63 kVA (Conventional) </t>
  </si>
  <si>
    <t xml:space="preserve">100 kVA (Conventional) </t>
  </si>
  <si>
    <t xml:space="preserve">200 kVA (Conventional) </t>
  </si>
  <si>
    <t xml:space="preserve">315 kVA (Conventional) </t>
  </si>
  <si>
    <t xml:space="preserve">315 kVA (CEA Design) </t>
  </si>
  <si>
    <t xml:space="preserve">500 kVA (Conventional) </t>
  </si>
  <si>
    <t xml:space="preserve">5 kVA Single Phase </t>
  </si>
  <si>
    <t xml:space="preserve">10 kVA Single Phase </t>
  </si>
  <si>
    <t>50 kVA (Copper winding)</t>
  </si>
  <si>
    <t>KL</t>
  </si>
  <si>
    <t>Incidental Charges @ 9% : -</t>
  </si>
  <si>
    <t xml:space="preserve">SUB TOTAL-1 </t>
  </si>
  <si>
    <t xml:space="preserve">SUB TOTAL-2 </t>
  </si>
  <si>
    <t>Overhead Charges @ 11% [Market Fluctuation, Service Tax, Contractor's profit etc.]</t>
  </si>
  <si>
    <t>Transportation charges</t>
  </si>
  <si>
    <r>
      <t>33 kV VCB</t>
    </r>
    <r>
      <rPr>
        <sz val="10"/>
        <rFont val="Verdana"/>
        <family val="2"/>
      </rPr>
      <t xml:space="preserve"> without control panel &amp; CT's.</t>
    </r>
  </si>
  <si>
    <t>1 Feeder + 1 Transformer (Static Relays)</t>
  </si>
  <si>
    <r>
      <t xml:space="preserve">33 kV </t>
    </r>
    <r>
      <rPr>
        <sz val="10"/>
        <rFont val="Verdana"/>
        <family val="2"/>
      </rPr>
      <t>Transformer Control Panel (Static Relays)</t>
    </r>
  </si>
  <si>
    <r>
      <t>33 kV</t>
    </r>
    <r>
      <rPr>
        <sz val="10"/>
        <rFont val="Verdana"/>
        <family val="2"/>
      </rPr>
      <t xml:space="preserve"> feeder control panel (Static Relays).</t>
    </r>
  </si>
  <si>
    <t>11 kV Sectionalizer.</t>
  </si>
  <si>
    <t>11 kV ; 600 Amps.</t>
  </si>
  <si>
    <t>33 kV ; 600 Amps with earth switch.</t>
  </si>
  <si>
    <t>Cement</t>
  </si>
  <si>
    <t xml:space="preserve">Transportation charges </t>
  </si>
  <si>
    <t>Grand Total</t>
  </si>
  <si>
    <t xml:space="preserve">Binding wire and tape  </t>
  </si>
  <si>
    <t>PVC Insulated 4 core cable</t>
  </si>
  <si>
    <t>25 kVA (70 sq mm)</t>
  </si>
  <si>
    <t>63 kVA (70 sq mm)</t>
  </si>
  <si>
    <t>100 kVA (70 sq mm)</t>
  </si>
  <si>
    <t>100 kVA (150 sq mm)</t>
  </si>
  <si>
    <t>Unit rate for 2015-16</t>
  </si>
  <si>
    <t>SAP DESCRIPTION</t>
  </si>
  <si>
    <t>33KV 400 sqmm XLPE cable (Underground)</t>
  </si>
  <si>
    <t>2 Core (ARMOURED)</t>
  </si>
  <si>
    <t>2 Core (UNARMOURED)</t>
  </si>
  <si>
    <t>4 Core (UNARMOURED)</t>
  </si>
  <si>
    <t>4 Core (ARMOURED)</t>
  </si>
  <si>
    <t>8 Core (UNARMOURED)</t>
  </si>
  <si>
    <t>10 Core (UNARMOURED)</t>
  </si>
  <si>
    <t>10 Core (ARMOURED)</t>
  </si>
  <si>
    <t>12 Core (UNARMOURED)</t>
  </si>
  <si>
    <t>33 kV ; 600 Amps without earth switch.</t>
  </si>
  <si>
    <t xml:space="preserve">  5 kVAR</t>
  </si>
  <si>
    <t>10 kVAR</t>
  </si>
  <si>
    <t>12 kVAR</t>
  </si>
  <si>
    <t>20 kVAR</t>
  </si>
  <si>
    <t>1089 kVAR 12.1 kV 3-phase 50 Hz Outdoor type Capacitor bank having step as 363</t>
  </si>
  <si>
    <t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t>
  </si>
  <si>
    <t>410-SP-60, 12 Mtrs. Long.</t>
  </si>
  <si>
    <t>410-SP-29, 9 Mtrs. Long.</t>
  </si>
  <si>
    <t>Single Phase transformer with protection (16 kVA)</t>
  </si>
  <si>
    <t>3 Ø 4 Wire 0.5S with DLMS Protocol category B</t>
  </si>
  <si>
    <t xml:space="preserve">3 Ø 4 Wire 0.2S Non DLMS </t>
  </si>
  <si>
    <t xml:space="preserve">3 Ø 3 Wire 0.2S Non DLMS </t>
  </si>
  <si>
    <t xml:space="preserve">3 Ø 4 Wire 0.5S Non DLMS </t>
  </si>
  <si>
    <t>CMRI</t>
  </si>
  <si>
    <t>3 Ø 4 Wire 0.2S accuracy class CT operated meter (for 132 kV)</t>
  </si>
  <si>
    <t>Meter Box (GI Plain Sheet) for 3 Phase LT CT operated meter</t>
  </si>
  <si>
    <t>Non Directional, 30-V, 5-Amps IDMT relay.</t>
  </si>
  <si>
    <t>Set of 3 O.C. relays instantaneous high set feature</t>
  </si>
  <si>
    <t>Set of 2 O.C.+ 1 earth fault relay without instantaneous high set feature</t>
  </si>
  <si>
    <t>Master trip relays</t>
  </si>
  <si>
    <t xml:space="preserve">33 kV CT's (400-200/5) Amps. Oil filled </t>
  </si>
  <si>
    <t>33 kV CT's (300-150/5) Amps oil filled</t>
  </si>
  <si>
    <t>33 kV CT's (200-100/5) Amps oil filled</t>
  </si>
  <si>
    <t>33 kV CT's  (100-50/5) Amps. oil filled</t>
  </si>
  <si>
    <t>11 kV Single Phase PT's (Oil filled)</t>
  </si>
  <si>
    <t>38447.12</t>
  </si>
  <si>
    <t xml:space="preserve">Adjustable Screw Spanner 12 inches </t>
  </si>
  <si>
    <t xml:space="preserve">Power Transformer 3150 kVA </t>
  </si>
  <si>
    <t xml:space="preserve">Power Transformer 5000 kVA </t>
  </si>
  <si>
    <t>Indoor Type 33 kV Metering Cubical CTPT Unit 100 /5A</t>
  </si>
  <si>
    <t>L.T.C.T. 100/5 Amps.</t>
  </si>
  <si>
    <t>L.T.C.T. 200/5 Amps.</t>
  </si>
  <si>
    <t>L.T.C.T. 300/5 Amps.</t>
  </si>
  <si>
    <t>L.T.C.T. 500/5 Amps.</t>
  </si>
  <si>
    <t>220 kV C.T. 800-400/1</t>
  </si>
  <si>
    <t>132 kV C.T. 600-300/1</t>
  </si>
  <si>
    <t>132 kV C.T. 150-75/1</t>
  </si>
  <si>
    <t>220 kV C.T. 150-75/1</t>
  </si>
  <si>
    <t>220 kV C.T. 300-150/1</t>
  </si>
  <si>
    <t>220 kV C.T. 600-300/1</t>
  </si>
  <si>
    <t>11 kV CTPT Unit 400-200/5 A</t>
  </si>
  <si>
    <t>33 kV CTPT Unit 300-150/5 A</t>
  </si>
  <si>
    <t>11 kV C.T. 200-100/5 Amps.</t>
  </si>
  <si>
    <t>11 kV C.T. 300-150/5 Amps.</t>
  </si>
  <si>
    <t>132 kV C.T. 100-50/1</t>
  </si>
  <si>
    <t>132 kV C.T. 200-100/1</t>
  </si>
  <si>
    <t>132 kV C.T. 300-150/1</t>
  </si>
  <si>
    <t>11 kV CTPT Unit 7.5/5 A</t>
  </si>
  <si>
    <t>11 kV CTPT Unit 10/5 A</t>
  </si>
  <si>
    <t>11 kV CTPT Unit 15/5 A</t>
  </si>
  <si>
    <t>11 kV CTPT Unit 300-150/5 A</t>
  </si>
  <si>
    <t>11 kV CTPT Unit 25/5 A</t>
  </si>
  <si>
    <t>11 kV CTPT Unit 75/5 A</t>
  </si>
  <si>
    <t>11 kV CTPT Unit 50/5 A</t>
  </si>
  <si>
    <t>33 kV CTPT Unit 20/5 A</t>
  </si>
  <si>
    <t>33 kV CTPT Unit 5/5 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</si>
</sst>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&quot;\`&quot;&quot;#,##0_);\(&quot;&quot;\`&quot;&quot;#,##0\)"/>
    <numFmt numFmtId="173" formatCode="&quot;&quot;\`&quot;&quot;#,##0_);[Red]\(&quot;&quot;\`&quot;&quot;#,##0\)"/>
    <numFmt numFmtId="174" formatCode="&quot;&quot;\`&quot;&quot;#,##0.00_);\(&quot;&quot;\`&quot;&quot;#,##0.00\)"/>
    <numFmt numFmtId="175" formatCode="&quot;&quot;\`&quot;&quot;#,##0.00_);[Red]\(&quot;&quot;\`&quot;&quot;#,##0.00\)"/>
    <numFmt numFmtId="176" formatCode="_(&quot;&quot;\`&quot;&quot;* #,##0_);_(&quot;&quot;\`&quot;&quot;* \(#,##0\);_(&quot;&quot;\`&quot;&quot;* &quot;-&quot;_);_(@_)"/>
    <numFmt numFmtId="177" formatCode="_(&quot;&quot;\`&quot;&quot;* #,##0.00_);_(&quot;&quot;\`&quot;&quot;* \(#,##0.00\);_(&quot;&quot;\`&quot;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"/>
    <numFmt numFmtId="185" formatCode="0.000000"/>
    <numFmt numFmtId="186" formatCode="0.0000000"/>
    <numFmt numFmtId="187" formatCode="0.00000"/>
    <numFmt numFmtId="188" formatCode="0.0000"/>
    <numFmt numFmtId="189" formatCode="0.0%"/>
    <numFmt numFmtId="190" formatCode="0.0"/>
    <numFmt numFmtId="191" formatCode="#,##0.0"/>
    <numFmt numFmtId="192" formatCode="00000"/>
    <numFmt numFmtId="193" formatCode="0.00;[Red]0.00"/>
    <numFmt numFmtId="194" formatCode="0.000000000"/>
  </numFmts>
  <fonts count="9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2"/>
      <name val="Rupee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name val="Calibri"/>
      <family val="2"/>
    </font>
    <font>
      <b/>
      <sz val="18"/>
      <name val="Arial"/>
      <family val="2"/>
    </font>
    <font>
      <sz val="10.5"/>
      <name val="Arial"/>
      <family val="2"/>
    </font>
    <font>
      <sz val="10"/>
      <name val="Calibri"/>
      <family val="2"/>
    </font>
    <font>
      <b/>
      <u val="single"/>
      <sz val="12"/>
      <color indexed="10"/>
      <name val="Arial"/>
      <family val="2"/>
    </font>
    <font>
      <sz val="16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Verdana"/>
      <family val="2"/>
    </font>
    <font>
      <sz val="11"/>
      <name val="Rupee"/>
      <family val="0"/>
    </font>
    <font>
      <b/>
      <u val="single"/>
      <sz val="16"/>
      <name val="Arial"/>
      <family val="2"/>
    </font>
    <font>
      <b/>
      <sz val="10.5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name val="Copperplate Gothic Bold"/>
      <family val="2"/>
    </font>
    <font>
      <sz val="12"/>
      <name val="Copperplate Gothic Bold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Calibri"/>
      <family val="2"/>
    </font>
    <font>
      <b/>
      <i/>
      <sz val="11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4"/>
      <name val="Copperplate Gothic Bold"/>
      <family val="0"/>
    </font>
    <font>
      <sz val="18"/>
      <name val="Kruti Dev 010"/>
      <family val="0"/>
    </font>
    <font>
      <sz val="12.5"/>
      <name val="Arial"/>
      <family val="0"/>
    </font>
    <font>
      <sz val="12"/>
      <name val="Calibri"/>
      <family val="2"/>
    </font>
    <font>
      <sz val="12"/>
      <color indexed="10"/>
      <name val="Arial"/>
      <family val="0"/>
    </font>
    <font>
      <b/>
      <sz val="12"/>
      <name val="Copperplate Gothic Bold"/>
      <family val="0"/>
    </font>
    <font>
      <b/>
      <u val="single"/>
      <sz val="14"/>
      <color indexed="53"/>
      <name val="Arial"/>
      <family val="2"/>
    </font>
    <font>
      <sz val="11"/>
      <name val="Times New Roman"/>
      <family val="1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vertAlign val="subscript"/>
      <sz val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u val="single"/>
      <sz val="11.5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2"/>
      <name val="Arial"/>
      <family val="0"/>
    </font>
    <font>
      <sz val="11"/>
      <color indexed="9"/>
      <name val="Arial"/>
      <family val="2"/>
    </font>
    <font>
      <b/>
      <sz val="10"/>
      <color indexed="9"/>
      <name val="Verdan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2" fillId="29" borderId="1" applyNumberFormat="0" applyAlignment="0" applyProtection="0"/>
    <xf numFmtId="0" fontId="93" fillId="0" borderId="6" applyNumberFormat="0" applyFill="0" applyAlignment="0" applyProtection="0"/>
    <xf numFmtId="0" fontId="94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95" fillId="26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352">
    <xf numFmtId="0" fontId="0" fillId="0" borderId="0" xfId="0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68" applyFont="1" applyFill="1">
      <alignment/>
      <protection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9" fillId="0" borderId="0" xfId="68" applyFont="1" applyFill="1" applyAlignment="1">
      <alignment/>
      <protection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0" fontId="14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14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14" fillId="0" borderId="10" xfId="61" applyNumberFormat="1" applyFont="1" applyFill="1" applyBorder="1" applyAlignment="1">
      <alignment vertical="center" wrapText="1"/>
      <protection/>
    </xf>
    <xf numFmtId="2" fontId="2" fillId="0" borderId="10" xfId="61" applyNumberFormat="1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vertical="top" wrapText="1"/>
    </xf>
    <xf numFmtId="0" fontId="14" fillId="0" borderId="11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9" fontId="1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14" fillId="0" borderId="16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90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Fill="1" applyBorder="1" applyAlignment="1">
      <alignment horizontal="center" vertical="top"/>
    </xf>
    <xf numFmtId="0" fontId="14" fillId="0" borderId="11" xfId="0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right"/>
    </xf>
    <xf numFmtId="0" fontId="14" fillId="0" borderId="14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4" fillId="0" borderId="10" xfId="0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2" fontId="14" fillId="0" borderId="10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4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2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 vertical="top"/>
    </xf>
    <xf numFmtId="0" fontId="6" fillId="0" borderId="0" xfId="0" applyFont="1" applyFill="1" applyBorder="1" applyAlignment="1" quotePrefix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2" fontId="0" fillId="0" borderId="0" xfId="0" applyNumberFormat="1" applyFill="1" applyAlignment="1">
      <alignment vertical="top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/>
    </xf>
    <xf numFmtId="0" fontId="0" fillId="0" borderId="18" xfId="0" applyFill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190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/>
    </xf>
    <xf numFmtId="184" fontId="1" fillId="0" borderId="10" xfId="0" applyNumberFormat="1" applyFont="1" applyFill="1" applyBorder="1" applyAlignment="1">
      <alignment horizontal="center"/>
    </xf>
    <xf numFmtId="188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top" wrapText="1"/>
    </xf>
    <xf numFmtId="184" fontId="0" fillId="0" borderId="0" xfId="0" applyNumberFormat="1" applyFill="1" applyBorder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18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184" fontId="3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18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top"/>
    </xf>
    <xf numFmtId="0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0" fontId="36" fillId="0" borderId="0" xfId="0" applyFont="1" applyFill="1" applyBorder="1" applyAlignment="1" quotePrefix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6" fillId="0" borderId="0" xfId="68" applyFont="1" applyFill="1">
      <alignment/>
      <protection/>
    </xf>
    <xf numFmtId="0" fontId="6" fillId="0" borderId="0" xfId="68" applyFont="1" applyFill="1" applyAlignment="1">
      <alignment horizontal="center"/>
      <protection/>
    </xf>
    <xf numFmtId="0" fontId="6" fillId="0" borderId="0" xfId="68" applyNumberFormat="1" applyFont="1" applyFill="1" applyAlignment="1">
      <alignment horizontal="center"/>
      <protection/>
    </xf>
    <xf numFmtId="0" fontId="6" fillId="0" borderId="0" xfId="68" applyFont="1" applyFill="1" applyAlignment="1">
      <alignment horizontal="left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/>
      <protection/>
    </xf>
    <xf numFmtId="1" fontId="2" fillId="0" borderId="10" xfId="68" applyNumberFormat="1" applyFont="1" applyFill="1" applyBorder="1" applyAlignment="1">
      <alignment horizontal="center"/>
      <protection/>
    </xf>
    <xf numFmtId="0" fontId="19" fillId="0" borderId="0" xfId="68" applyFont="1" applyFill="1" applyAlignment="1">
      <alignment horizontal="right"/>
      <protection/>
    </xf>
    <xf numFmtId="0" fontId="14" fillId="0" borderId="10" xfId="68" applyFont="1" applyFill="1" applyBorder="1" applyAlignment="1">
      <alignment horizontal="center" vertical="top"/>
      <protection/>
    </xf>
    <xf numFmtId="0" fontId="14" fillId="0" borderId="10" xfId="68" applyFont="1" applyFill="1" applyBorder="1" applyAlignment="1">
      <alignment vertical="top" wrapText="1"/>
      <protection/>
    </xf>
    <xf numFmtId="0" fontId="14" fillId="0" borderId="10" xfId="68" applyNumberFormat="1" applyFont="1" applyFill="1" applyBorder="1" applyAlignment="1">
      <alignment horizontal="center" vertical="center"/>
      <protection/>
    </xf>
    <xf numFmtId="0" fontId="14" fillId="0" borderId="10" xfId="68" applyFont="1" applyFill="1" applyBorder="1" applyAlignment="1">
      <alignment horizontal="center" vertical="center"/>
      <protection/>
    </xf>
    <xf numFmtId="2" fontId="14" fillId="0" borderId="10" xfId="68" applyNumberFormat="1" applyFont="1" applyFill="1" applyBorder="1" applyAlignment="1">
      <alignment horizontal="center" vertical="center"/>
      <protection/>
    </xf>
    <xf numFmtId="0" fontId="14" fillId="0" borderId="10" xfId="68" applyFont="1" applyFill="1" applyBorder="1" applyAlignment="1">
      <alignment vertical="center" wrapText="1"/>
      <protection/>
    </xf>
    <xf numFmtId="0" fontId="14" fillId="0" borderId="11" xfId="68" applyFont="1" applyFill="1" applyBorder="1" applyAlignment="1">
      <alignment horizontal="center" vertical="top"/>
      <protection/>
    </xf>
    <xf numFmtId="0" fontId="14" fillId="0" borderId="14" xfId="68" applyNumberFormat="1" applyFont="1" applyFill="1" applyBorder="1" applyAlignment="1">
      <alignment vertical="center"/>
      <protection/>
    </xf>
    <xf numFmtId="0" fontId="14" fillId="0" borderId="15" xfId="68" applyNumberFormat="1" applyFont="1" applyFill="1" applyBorder="1" applyAlignment="1">
      <alignment vertical="center"/>
      <protection/>
    </xf>
    <xf numFmtId="0" fontId="14" fillId="0" borderId="13" xfId="68" applyNumberFormat="1" applyFont="1" applyFill="1" applyBorder="1" applyAlignment="1">
      <alignment vertical="center"/>
      <protection/>
    </xf>
    <xf numFmtId="49" fontId="14" fillId="0" borderId="10" xfId="68" applyNumberFormat="1" applyFont="1" applyFill="1" applyBorder="1" applyAlignment="1">
      <alignment vertical="center" wrapText="1"/>
      <protection/>
    </xf>
    <xf numFmtId="0" fontId="14" fillId="0" borderId="10" xfId="68" applyNumberFormat="1" applyFont="1" applyFill="1" applyBorder="1" applyAlignment="1">
      <alignment horizontal="center" vertical="center" wrapText="1"/>
      <protection/>
    </xf>
    <xf numFmtId="49" fontId="14" fillId="0" borderId="10" xfId="68" applyNumberFormat="1" applyFont="1" applyFill="1" applyBorder="1" applyAlignment="1">
      <alignment horizontal="center" vertical="center" wrapText="1"/>
      <protection/>
    </xf>
    <xf numFmtId="0" fontId="14" fillId="0" borderId="10" xfId="68" applyFont="1" applyFill="1" applyBorder="1" applyAlignment="1">
      <alignment vertical="center"/>
      <protection/>
    </xf>
    <xf numFmtId="2" fontId="19" fillId="0" borderId="0" xfId="68" applyNumberFormat="1" applyFont="1" applyFill="1" applyAlignment="1">
      <alignment horizontal="right"/>
      <protection/>
    </xf>
    <xf numFmtId="0" fontId="14" fillId="0" borderId="10" xfId="68" applyFont="1" applyFill="1" applyBorder="1" applyAlignment="1">
      <alignment horizontal="center" vertical="center" wrapText="1"/>
      <protection/>
    </xf>
    <xf numFmtId="0" fontId="19" fillId="0" borderId="0" xfId="68" applyFont="1" applyFill="1" applyAlignment="1">
      <alignment vertical="center"/>
      <protection/>
    </xf>
    <xf numFmtId="0" fontId="14" fillId="0" borderId="16" xfId="68" applyFont="1" applyFill="1" applyBorder="1" applyAlignment="1">
      <alignment horizontal="center" vertical="center" wrapText="1"/>
      <protection/>
    </xf>
    <xf numFmtId="0" fontId="14" fillId="0" borderId="10" xfId="68" applyFont="1" applyFill="1" applyBorder="1">
      <alignment/>
      <protection/>
    </xf>
    <xf numFmtId="49" fontId="14" fillId="0" borderId="10" xfId="68" applyNumberFormat="1" applyFont="1" applyFill="1" applyBorder="1" applyAlignment="1">
      <alignment horizontal="left" wrapText="1"/>
      <protection/>
    </xf>
    <xf numFmtId="0" fontId="2" fillId="0" borderId="10" xfId="68" applyFont="1" applyFill="1" applyBorder="1" applyAlignment="1">
      <alignment horizontal="center" vertical="top"/>
      <protection/>
    </xf>
    <xf numFmtId="0" fontId="2" fillId="0" borderId="10" xfId="68" applyNumberFormat="1" applyFont="1" applyFill="1" applyBorder="1">
      <alignment/>
      <protection/>
    </xf>
    <xf numFmtId="2" fontId="2" fillId="0" borderId="10" xfId="68" applyNumberFormat="1" applyFont="1" applyFill="1" applyBorder="1" applyAlignment="1">
      <alignment horizontal="center" vertical="center"/>
      <protection/>
    </xf>
    <xf numFmtId="0" fontId="14" fillId="0" borderId="10" xfId="68" applyNumberFormat="1" applyFont="1" applyFill="1" applyBorder="1" applyAlignment="1">
      <alignment vertical="center" wrapText="1"/>
      <protection/>
    </xf>
    <xf numFmtId="2" fontId="14" fillId="0" borderId="10" xfId="68" applyNumberFormat="1" applyFont="1" applyFill="1" applyBorder="1" applyAlignment="1">
      <alignment horizontal="center" vertical="center" wrapText="1"/>
      <protection/>
    </xf>
    <xf numFmtId="2" fontId="14" fillId="0" borderId="0" xfId="68" applyNumberFormat="1" applyFont="1" applyFill="1" applyBorder="1" applyAlignment="1">
      <alignment horizontal="center" vertical="center" wrapText="1"/>
      <protection/>
    </xf>
    <xf numFmtId="0" fontId="14" fillId="0" borderId="10" xfId="68" applyNumberFormat="1" applyFont="1" applyFill="1" applyBorder="1">
      <alignment/>
      <protection/>
    </xf>
    <xf numFmtId="0" fontId="14" fillId="0" borderId="10" xfId="68" applyFont="1" applyFill="1" applyBorder="1" applyAlignment="1">
      <alignment horizontal="left"/>
      <protection/>
    </xf>
    <xf numFmtId="0" fontId="14" fillId="0" borderId="10" xfId="68" applyNumberFormat="1" applyFont="1" applyFill="1" applyBorder="1" applyAlignment="1">
      <alignment vertical="top" wrapText="1"/>
      <protection/>
    </xf>
    <xf numFmtId="0" fontId="14" fillId="0" borderId="10" xfId="68" applyFont="1" applyFill="1" applyBorder="1" applyAlignment="1">
      <alignment horizontal="center" vertical="top" wrapText="1"/>
      <protection/>
    </xf>
    <xf numFmtId="0" fontId="14" fillId="0" borderId="10" xfId="68" applyFont="1" applyFill="1" applyBorder="1" applyAlignment="1">
      <alignment horizontal="left" vertical="top" wrapText="1"/>
      <protection/>
    </xf>
    <xf numFmtId="2" fontId="14" fillId="0" borderId="10" xfId="68" applyNumberFormat="1" applyFont="1" applyFill="1" applyBorder="1" applyAlignment="1">
      <alignment vertical="top" wrapText="1"/>
      <protection/>
    </xf>
    <xf numFmtId="2" fontId="2" fillId="0" borderId="10" xfId="68" applyNumberFormat="1" applyFont="1" applyFill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vertical="center" wrapText="1"/>
      <protection/>
    </xf>
    <xf numFmtId="0" fontId="37" fillId="0" borderId="10" xfId="68" applyNumberFormat="1" applyFont="1" applyFill="1" applyBorder="1" applyAlignment="1">
      <alignment vertical="center" wrapText="1"/>
      <protection/>
    </xf>
    <xf numFmtId="0" fontId="37" fillId="0" borderId="10" xfId="68" applyFont="1" applyFill="1" applyBorder="1" applyAlignment="1">
      <alignment horizontal="left" vertical="center" wrapText="1"/>
      <protection/>
    </xf>
    <xf numFmtId="2" fontId="37" fillId="0" borderId="10" xfId="68" applyNumberFormat="1" applyFont="1" applyFill="1" applyBorder="1" applyAlignment="1">
      <alignment vertical="center" wrapText="1"/>
      <protection/>
    </xf>
    <xf numFmtId="2" fontId="37" fillId="0" borderId="10" xfId="68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" fillId="0" borderId="11" xfId="68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2" fillId="0" borderId="0" xfId="68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2" fillId="0" borderId="0" xfId="68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4" fillId="0" borderId="16" xfId="68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14" fillId="0" borderId="0" xfId="68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4" fillId="0" borderId="10" xfId="63" applyFont="1" applyFill="1" applyBorder="1" applyAlignment="1">
      <alignment vertical="center" wrapText="1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2" fontId="25" fillId="0" borderId="1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2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vertical="center"/>
    </xf>
    <xf numFmtId="0" fontId="41" fillId="0" borderId="15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/>
    </xf>
    <xf numFmtId="0" fontId="25" fillId="0" borderId="15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2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/>
    </xf>
    <xf numFmtId="0" fontId="5" fillId="0" borderId="10" xfId="68" applyFont="1" applyFill="1" applyBorder="1" applyAlignment="1">
      <alignment horizontal="center" vertical="center" wrapText="1"/>
      <protection/>
    </xf>
    <xf numFmtId="49" fontId="5" fillId="0" borderId="10" xfId="68" applyNumberFormat="1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top" wrapText="1"/>
      <protection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0" fontId="5" fillId="0" borderId="15" xfId="66" applyFont="1" applyFill="1" applyBorder="1" applyAlignment="1">
      <alignment vertical="center" wrapText="1"/>
      <protection/>
    </xf>
    <xf numFmtId="0" fontId="14" fillId="0" borderId="10" xfId="66" applyFont="1" applyFill="1" applyBorder="1" applyAlignment="1">
      <alignment horizontal="center" vertical="center" wrapText="1"/>
      <protection/>
    </xf>
    <xf numFmtId="0" fontId="14" fillId="0" borderId="14" xfId="66" applyFont="1" applyFill="1" applyBorder="1" applyAlignment="1">
      <alignment vertical="center" wrapText="1"/>
      <protection/>
    </xf>
    <xf numFmtId="0" fontId="6" fillId="0" borderId="15" xfId="66" applyFont="1" applyFill="1" applyBorder="1" applyAlignment="1">
      <alignment vertical="center" wrapText="1"/>
      <protection/>
    </xf>
    <xf numFmtId="0" fontId="6" fillId="0" borderId="10" xfId="66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49" fontId="2" fillId="0" borderId="10" xfId="68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0" fontId="6" fillId="0" borderId="13" xfId="66" applyFont="1" applyFill="1" applyBorder="1" applyAlignment="1">
      <alignment vertical="center" wrapText="1"/>
      <protection/>
    </xf>
    <xf numFmtId="0" fontId="6" fillId="0" borderId="15" xfId="66" applyFont="1" applyFill="1" applyBorder="1" applyAlignment="1">
      <alignment horizontal="left" vertical="center" wrapText="1"/>
      <protection/>
    </xf>
    <xf numFmtId="0" fontId="6" fillId="0" borderId="13" xfId="66" applyFont="1" applyFill="1" applyBorder="1" applyAlignment="1">
      <alignment horizontal="left" vertical="center" wrapText="1"/>
      <protection/>
    </xf>
    <xf numFmtId="0" fontId="14" fillId="0" borderId="13" xfId="66" applyFont="1" applyFill="1" applyBorder="1" applyAlignment="1">
      <alignment horizontal="center" vertical="center" wrapText="1"/>
      <protection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2" fontId="14" fillId="0" borderId="0" xfId="6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4" fillId="0" borderId="10" xfId="0" applyNumberFormat="1" applyFont="1" applyFill="1" applyBorder="1" applyAlignment="1">
      <alignment horizontal="left"/>
    </xf>
    <xf numFmtId="0" fontId="41" fillId="0" borderId="14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4" fillId="0" borderId="14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 wrapText="1"/>
    </xf>
    <xf numFmtId="0" fontId="45" fillId="0" borderId="0" xfId="0" applyFont="1" applyFill="1" applyAlignment="1">
      <alignment/>
    </xf>
    <xf numFmtId="0" fontId="0" fillId="0" borderId="17" xfId="0" applyFill="1" applyBorder="1" applyAlignment="1">
      <alignment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4" fillId="0" borderId="0" xfId="0" applyFont="1" applyFill="1" applyBorder="1" applyAlignment="1" quotePrefix="1">
      <alignment vertical="center" wrapText="1"/>
    </xf>
    <xf numFmtId="0" fontId="0" fillId="0" borderId="18" xfId="0" applyFill="1" applyBorder="1" applyAlignment="1">
      <alignment horizontal="center"/>
    </xf>
    <xf numFmtId="184" fontId="0" fillId="0" borderId="18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/>
    </xf>
    <xf numFmtId="190" fontId="0" fillId="0" borderId="10" xfId="0" applyNumberFormat="1" applyFont="1" applyFill="1" applyBorder="1" applyAlignment="1" quotePrefix="1">
      <alignment horizontal="center" vertical="center"/>
    </xf>
    <xf numFmtId="2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21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47" fillId="0" borderId="0" xfId="0" applyFont="1" applyFill="1" applyAlignment="1">
      <alignment/>
    </xf>
    <xf numFmtId="2" fontId="0" fillId="0" borderId="16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90" fontId="6" fillId="0" borderId="10" xfId="0" applyNumberFormat="1" applyFont="1" applyFill="1" applyBorder="1" applyAlignment="1" quotePrefix="1">
      <alignment horizontal="center" vertical="center"/>
    </xf>
    <xf numFmtId="2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190" fontId="14" fillId="0" borderId="10" xfId="0" applyNumberFormat="1" applyFont="1" applyFill="1" applyBorder="1" applyAlignment="1">
      <alignment horizontal="center" vertical="center"/>
    </xf>
    <xf numFmtId="21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vertical="top" wrapText="1"/>
    </xf>
    <xf numFmtId="0" fontId="49" fillId="0" borderId="0" xfId="0" applyFont="1" applyFill="1" applyAlignment="1">
      <alignment horizontal="right" wrapText="1"/>
    </xf>
    <xf numFmtId="0" fontId="49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horizontal="right" wrapText="1"/>
    </xf>
    <xf numFmtId="0" fontId="49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quotePrefix="1">
      <alignment horizontal="center" vertical="top" wrapText="1"/>
    </xf>
    <xf numFmtId="2" fontId="14" fillId="0" borderId="10" xfId="0" applyNumberFormat="1" applyFont="1" applyFill="1" applyBorder="1" applyAlignment="1" quotePrefix="1">
      <alignment horizontal="center" vertical="center" wrapText="1"/>
    </xf>
    <xf numFmtId="21" fontId="14" fillId="0" borderId="10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quotePrefix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68" applyFont="1" applyFill="1" applyBorder="1">
      <alignment/>
      <protection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38" fillId="0" borderId="0" xfId="68" applyFont="1" applyFill="1" applyBorder="1" applyAlignment="1">
      <alignment vertical="center" wrapText="1"/>
      <protection/>
    </xf>
    <xf numFmtId="0" fontId="10" fillId="0" borderId="0" xfId="68" applyFont="1" applyFill="1" applyAlignment="1">
      <alignment horizontal="center"/>
      <protection/>
    </xf>
    <xf numFmtId="0" fontId="2" fillId="0" borderId="10" xfId="68" applyFont="1" applyFill="1" applyBorder="1" applyAlignment="1">
      <alignment horizontal="left" vertical="center"/>
      <protection/>
    </xf>
    <xf numFmtId="0" fontId="14" fillId="0" borderId="10" xfId="68" applyFont="1" applyFill="1" applyBorder="1" applyAlignment="1">
      <alignment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14" fillId="0" borderId="10" xfId="68" applyNumberFormat="1" applyFont="1" applyFill="1" applyBorder="1" applyAlignment="1">
      <alignment vertical="top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2" fontId="19" fillId="0" borderId="0" xfId="68" applyNumberFormat="1" applyFont="1" applyFill="1">
      <alignment/>
      <protection/>
    </xf>
    <xf numFmtId="0" fontId="2" fillId="0" borderId="10" xfId="68" applyNumberFormat="1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top" wrapText="1"/>
      <protection/>
    </xf>
    <xf numFmtId="0" fontId="5" fillId="0" borderId="10" xfId="68" applyFont="1" applyFill="1" applyBorder="1" applyAlignment="1">
      <alignment horizontal="center" vertical="top" wrapText="1"/>
      <protection/>
    </xf>
    <xf numFmtId="0" fontId="5" fillId="0" borderId="10" xfId="68" applyFont="1" applyFill="1" applyBorder="1" applyAlignment="1">
      <alignment vertical="top" wrapText="1"/>
      <protection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68" applyFont="1" applyFill="1" applyAlignment="1">
      <alignment horizontal="center"/>
      <protection/>
    </xf>
    <xf numFmtId="0" fontId="49" fillId="0" borderId="0" xfId="68" applyFont="1" applyFill="1">
      <alignment/>
      <protection/>
    </xf>
    <xf numFmtId="0" fontId="49" fillId="0" borderId="0" xfId="68" applyNumberFormat="1" applyFont="1" applyFill="1" applyAlignment="1">
      <alignment horizontal="center"/>
      <protection/>
    </xf>
    <xf numFmtId="0" fontId="49" fillId="0" borderId="0" xfId="68" applyFont="1" applyFill="1" applyAlignment="1">
      <alignment horizontal="left"/>
      <protection/>
    </xf>
    <xf numFmtId="49" fontId="3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 quotePrefix="1">
      <alignment horizontal="center" vertical="top"/>
    </xf>
    <xf numFmtId="0" fontId="5" fillId="0" borderId="10" xfId="0" applyFont="1" applyFill="1" applyBorder="1" applyAlignment="1" quotePrefix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193" fontId="32" fillId="0" borderId="0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/>
    </xf>
    <xf numFmtId="0" fontId="5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quotePrefix="1">
      <alignment horizont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/>
    </xf>
    <xf numFmtId="21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/>
    </xf>
    <xf numFmtId="49" fontId="48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 quotePrefix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vertical="top" wrapText="1"/>
    </xf>
    <xf numFmtId="2" fontId="32" fillId="0" borderId="0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10" fontId="14" fillId="0" borderId="14" xfId="0" applyNumberFormat="1" applyFont="1" applyFill="1" applyBorder="1" applyAlignment="1">
      <alignment/>
    </xf>
    <xf numFmtId="10" fontId="14" fillId="0" borderId="15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10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61" applyFont="1" applyFill="1" applyBorder="1" applyAlignment="1">
      <alignment horizontal="center"/>
      <protection/>
    </xf>
    <xf numFmtId="0" fontId="14" fillId="0" borderId="10" xfId="61" applyFont="1" applyFill="1" applyBorder="1">
      <alignment/>
      <protection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vertical="center" wrapText="1"/>
    </xf>
    <xf numFmtId="2" fontId="14" fillId="0" borderId="15" xfId="0" applyNumberFormat="1" applyFont="1" applyFill="1" applyBorder="1" applyAlignment="1">
      <alignment vertical="center" wrapText="1"/>
    </xf>
    <xf numFmtId="2" fontId="14" fillId="0" borderId="13" xfId="0" applyNumberFormat="1" applyFont="1" applyFill="1" applyBorder="1" applyAlignment="1">
      <alignment vertical="center" wrapText="1"/>
    </xf>
    <xf numFmtId="21" fontId="14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0" fillId="0" borderId="14" xfId="0" applyFill="1" applyBorder="1" applyAlignment="1">
      <alignment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vertical="center"/>
    </xf>
    <xf numFmtId="2" fontId="0" fillId="0" borderId="15" xfId="0" applyNumberFormat="1" applyFill="1" applyBorder="1" applyAlignment="1">
      <alignment vertical="center"/>
    </xf>
    <xf numFmtId="49" fontId="14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0" xfId="67" applyFont="1" applyFill="1" applyBorder="1" applyAlignment="1">
      <alignment vertical="center" wrapText="1"/>
      <protection/>
    </xf>
    <xf numFmtId="0" fontId="10" fillId="0" borderId="0" xfId="67" applyFont="1" applyFill="1" applyBorder="1" applyAlignment="1">
      <alignment horizontal="center" wrapText="1"/>
      <protection/>
    </xf>
    <xf numFmtId="0" fontId="41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left" vertical="center" wrapText="1"/>
      <protection/>
    </xf>
    <xf numFmtId="2" fontId="25" fillId="0" borderId="10" xfId="6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vertical="center"/>
    </xf>
    <xf numFmtId="0" fontId="33" fillId="0" borderId="0" xfId="62" applyFont="1" applyFill="1" applyBorder="1" applyAlignment="1">
      <alignment horizontal="center" vertical="center" wrapText="1"/>
      <protection/>
    </xf>
    <xf numFmtId="190" fontId="11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" fontId="33" fillId="0" borderId="0" xfId="62" applyNumberFormat="1" applyFont="1" applyFill="1" applyBorder="1" applyAlignment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9" fontId="25" fillId="0" borderId="10" xfId="60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10" fillId="0" borderId="1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190" fontId="14" fillId="0" borderId="10" xfId="0" applyNumberFormat="1" applyFont="1" applyFill="1" applyBorder="1" applyAlignment="1">
      <alignment horizontal="center" vertical="center"/>
    </xf>
    <xf numFmtId="10" fontId="1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vertical="top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193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32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/>
    </xf>
    <xf numFmtId="1" fontId="32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center" vertical="top"/>
    </xf>
    <xf numFmtId="0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193" fontId="32" fillId="0" borderId="10" xfId="0" applyNumberFormat="1" applyFont="1" applyFill="1" applyBorder="1" applyAlignment="1">
      <alignment horizontal="center" vertical="top"/>
    </xf>
    <xf numFmtId="1" fontId="54" fillId="0" borderId="10" xfId="0" applyNumberFormat="1" applyFont="1" applyFill="1" applyBorder="1" applyAlignment="1">
      <alignment horizontal="center" vertical="top"/>
    </xf>
    <xf numFmtId="1" fontId="32" fillId="0" borderId="10" xfId="0" applyNumberFormat="1" applyFont="1" applyFill="1" applyBorder="1" applyAlignment="1">
      <alignment horizontal="center" vertical="top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vertical="top"/>
    </xf>
    <xf numFmtId="0" fontId="32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2" fontId="14" fillId="32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top"/>
    </xf>
    <xf numFmtId="0" fontId="32" fillId="0" borderId="1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57" fillId="33" borderId="10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horizontal="center" vertical="top" wrapText="1"/>
    </xf>
    <xf numFmtId="2" fontId="57" fillId="33" borderId="10" xfId="0" applyNumberFormat="1" applyFont="1" applyFill="1" applyBorder="1" applyAlignment="1">
      <alignment horizontal="center" vertical="top"/>
    </xf>
    <xf numFmtId="0" fontId="58" fillId="33" borderId="10" xfId="0" applyFont="1" applyFill="1" applyBorder="1" applyAlignment="1">
      <alignment vertical="top"/>
    </xf>
    <xf numFmtId="2" fontId="27" fillId="0" borderId="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190" fontId="1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190" fontId="1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1" fontId="6" fillId="0" borderId="1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68" applyFont="1" applyFill="1">
      <alignment/>
      <protection/>
    </xf>
    <xf numFmtId="0" fontId="3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14" fillId="0" borderId="0" xfId="68" applyFont="1" applyFill="1">
      <alignment/>
      <protection/>
    </xf>
    <xf numFmtId="0" fontId="26" fillId="0" borderId="0" xfId="68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wrapText="1"/>
    </xf>
    <xf numFmtId="0" fontId="41" fillId="0" borderId="10" xfId="62" applyFont="1" applyFill="1" applyBorder="1" applyAlignment="1">
      <alignment horizontal="center" vertical="top" wrapText="1"/>
      <protection/>
    </xf>
    <xf numFmtId="0" fontId="26" fillId="0" borderId="0" xfId="67" applyFont="1" applyFill="1" applyBorder="1" applyAlignment="1">
      <alignment horizontal="center" wrapText="1"/>
      <protection/>
    </xf>
    <xf numFmtId="49" fontId="1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68" applyNumberFormat="1" applyFont="1" applyFill="1" applyBorder="1" applyAlignment="1">
      <alignment horizontal="center" vertical="center"/>
      <protection/>
    </xf>
    <xf numFmtId="2" fontId="5" fillId="0" borderId="10" xfId="68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/>
    </xf>
    <xf numFmtId="2" fontId="14" fillId="0" borderId="23" xfId="0" applyNumberFormat="1" applyFont="1" applyFill="1" applyBorder="1" applyAlignment="1">
      <alignment horizontal="center" vertical="top"/>
    </xf>
    <xf numFmtId="2" fontId="14" fillId="0" borderId="2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 wrapText="1"/>
    </xf>
    <xf numFmtId="2" fontId="14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top" wrapText="1"/>
    </xf>
    <xf numFmtId="2" fontId="63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/>
    </xf>
    <xf numFmtId="1" fontId="57" fillId="0" borderId="10" xfId="0" applyNumberFormat="1" applyFont="1" applyFill="1" applyBorder="1" applyAlignment="1">
      <alignment horizontal="center" vertical="top" wrapText="1"/>
    </xf>
    <xf numFmtId="0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top"/>
    </xf>
    <xf numFmtId="0" fontId="65" fillId="0" borderId="0" xfId="0" applyFont="1" applyFill="1" applyAlignment="1">
      <alignment vertical="top"/>
    </xf>
    <xf numFmtId="2" fontId="57" fillId="0" borderId="10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>
      <alignment vertical="top" wrapText="1"/>
    </xf>
    <xf numFmtId="0" fontId="6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11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4" fillId="0" borderId="11" xfId="68" applyFont="1" applyFill="1" applyBorder="1" applyAlignment="1">
      <alignment horizontal="center" vertical="top"/>
      <protection/>
    </xf>
    <xf numFmtId="0" fontId="14" fillId="0" borderId="16" xfId="68" applyFont="1" applyFill="1" applyBorder="1" applyAlignment="1">
      <alignment horizontal="center" vertical="top"/>
      <protection/>
    </xf>
    <xf numFmtId="0" fontId="14" fillId="0" borderId="11" xfId="68" applyFont="1" applyFill="1" applyBorder="1" applyAlignment="1">
      <alignment horizontal="center" vertical="center" wrapText="1"/>
      <protection/>
    </xf>
    <xf numFmtId="0" fontId="14" fillId="0" borderId="16" xfId="68" applyFont="1" applyFill="1" applyBorder="1" applyAlignment="1">
      <alignment horizontal="center" vertical="center" wrapText="1"/>
      <protection/>
    </xf>
    <xf numFmtId="0" fontId="14" fillId="0" borderId="11" xfId="68" applyFont="1" applyFill="1" applyBorder="1" applyAlignment="1">
      <alignment horizontal="center" vertical="top" wrapText="1"/>
      <protection/>
    </xf>
    <xf numFmtId="0" fontId="14" fillId="0" borderId="17" xfId="68" applyFont="1" applyFill="1" applyBorder="1" applyAlignment="1">
      <alignment horizontal="center" vertical="top" wrapText="1"/>
      <protection/>
    </xf>
    <xf numFmtId="0" fontId="14" fillId="0" borderId="16" xfId="68" applyFont="1" applyFill="1" applyBorder="1" applyAlignment="1">
      <alignment horizontal="center" vertical="top" wrapText="1"/>
      <protection/>
    </xf>
    <xf numFmtId="0" fontId="22" fillId="0" borderId="0" xfId="0" applyFont="1" applyFill="1" applyBorder="1" applyAlignment="1">
      <alignment horizontal="right" vertical="center"/>
    </xf>
    <xf numFmtId="0" fontId="26" fillId="0" borderId="0" xfId="68" applyFont="1" applyFill="1" applyBorder="1" applyAlignment="1">
      <alignment horizontal="right"/>
      <protection/>
    </xf>
    <xf numFmtId="0" fontId="37" fillId="0" borderId="0" xfId="68" applyFont="1" applyFill="1" applyBorder="1" applyAlignment="1">
      <alignment horizontal="center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49" fontId="2" fillId="0" borderId="11" xfId="68" applyNumberFormat="1" applyFont="1" applyFill="1" applyBorder="1" applyAlignment="1">
      <alignment horizontal="center" vertical="center" wrapText="1"/>
      <protection/>
    </xf>
    <xf numFmtId="49" fontId="2" fillId="0" borderId="16" xfId="68" applyNumberFormat="1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5" xfId="68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2" fillId="0" borderId="11" xfId="68" applyFont="1" applyFill="1" applyBorder="1" applyAlignment="1">
      <alignment horizontal="center" vertical="center" wrapText="1"/>
      <protection/>
    </xf>
    <xf numFmtId="0" fontId="2" fillId="0" borderId="17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 wrapText="1"/>
      <protection/>
    </xf>
    <xf numFmtId="49" fontId="2" fillId="0" borderId="17" xfId="68" applyNumberFormat="1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7" xfId="68" applyFont="1" applyFill="1" applyBorder="1" applyAlignment="1">
      <alignment horizontal="center" vertical="center"/>
      <protection/>
    </xf>
    <xf numFmtId="0" fontId="2" fillId="0" borderId="16" xfId="68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5" fillId="0" borderId="10" xfId="6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0" fillId="0" borderId="16" xfId="0" applyFill="1" applyBorder="1" applyAlignment="1">
      <alignment vertical="center"/>
    </xf>
    <xf numFmtId="0" fontId="38" fillId="0" borderId="0" xfId="68" applyFont="1" applyFill="1" applyBorder="1" applyAlignment="1">
      <alignment horizontal="center" vertical="center" wrapText="1"/>
      <protection/>
    </xf>
    <xf numFmtId="0" fontId="2" fillId="0" borderId="14" xfId="68" applyFont="1" applyFill="1" applyBorder="1" applyAlignment="1">
      <alignment horizontal="left" vertical="center" wrapText="1"/>
      <protection/>
    </xf>
    <xf numFmtId="0" fontId="2" fillId="0" borderId="15" xfId="68" applyFont="1" applyFill="1" applyBorder="1" applyAlignment="1">
      <alignment horizontal="left" vertical="center" wrapText="1"/>
      <protection/>
    </xf>
    <xf numFmtId="0" fontId="2" fillId="0" borderId="13" xfId="68" applyFont="1" applyFill="1" applyBorder="1" applyAlignment="1">
      <alignment horizontal="left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67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14" fillId="34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4" xfId="58"/>
    <cellStyle name="Normal 2" xfId="59"/>
    <cellStyle name="Normal 2 2" xfId="60"/>
    <cellStyle name="Normal 2 2 2 3" xfId="61"/>
    <cellStyle name="Normal 2 2 3" xfId="62"/>
    <cellStyle name="Normal 2 2 3 3" xfId="63"/>
    <cellStyle name="Normal 21" xfId="64"/>
    <cellStyle name="Normal 3" xfId="65"/>
    <cellStyle name="Normal 3 2" xfId="66"/>
    <cellStyle name="Normal 3 4" xfId="67"/>
    <cellStyle name="Normal 3 4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"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3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3.421875" style="1" customWidth="1"/>
    <col min="2" max="2" width="37.28125" style="1" customWidth="1"/>
    <col min="3" max="3" width="9.28125" style="1" bestFit="1" customWidth="1"/>
    <col min="4" max="4" width="15.8515625" style="1" customWidth="1"/>
    <col min="5" max="5" width="48.421875" style="1" bestFit="1" customWidth="1"/>
    <col min="6" max="6" width="13.421875" style="1" customWidth="1"/>
    <col min="7" max="7" width="11.57421875" style="1" customWidth="1"/>
    <col min="8" max="8" width="9.140625" style="1" customWidth="1"/>
    <col min="9" max="9" width="13.00390625" style="1" customWidth="1"/>
    <col min="10" max="16384" width="9.140625" style="1" customWidth="1"/>
  </cols>
  <sheetData>
    <row r="1" ht="15.75">
      <c r="B1" s="1140" t="s">
        <v>884</v>
      </c>
    </row>
    <row r="3" spans="1:5" s="73" customFormat="1" ht="25.5">
      <c r="A3" s="67" t="s">
        <v>335</v>
      </c>
      <c r="B3" s="67" t="s">
        <v>336</v>
      </c>
      <c r="C3" s="67" t="s">
        <v>337</v>
      </c>
      <c r="D3" s="169" t="s">
        <v>1596</v>
      </c>
      <c r="E3" s="67" t="s">
        <v>1597</v>
      </c>
    </row>
    <row r="4" spans="1:5" ht="12.75">
      <c r="A4" s="1015">
        <v>7130200201</v>
      </c>
      <c r="B4" s="1011" t="s">
        <v>657</v>
      </c>
      <c r="C4" s="1008" t="s">
        <v>454</v>
      </c>
      <c r="D4" s="1012">
        <v>4212</v>
      </c>
      <c r="E4" s="222"/>
    </row>
    <row r="5" spans="1:5" ht="12.75">
      <c r="A5" s="1015">
        <v>7130200202</v>
      </c>
      <c r="B5" s="1011" t="s">
        <v>658</v>
      </c>
      <c r="C5" s="1008" t="s">
        <v>454</v>
      </c>
      <c r="D5" s="1012">
        <v>3019</v>
      </c>
      <c r="E5" s="222"/>
    </row>
    <row r="6" spans="1:5" ht="25.5">
      <c r="A6" s="1017">
        <v>7130200204</v>
      </c>
      <c r="B6" s="1016" t="s">
        <v>1327</v>
      </c>
      <c r="C6" s="1000" t="s">
        <v>1230</v>
      </c>
      <c r="D6" s="1020">
        <v>157</v>
      </c>
      <c r="E6" s="416" t="s">
        <v>484</v>
      </c>
    </row>
    <row r="7" spans="1:5" ht="16.5" customHeight="1">
      <c r="A7" s="1017">
        <v>7130200401</v>
      </c>
      <c r="B7" s="1016" t="s">
        <v>1325</v>
      </c>
      <c r="C7" s="1000" t="s">
        <v>1326</v>
      </c>
      <c r="D7" s="1020">
        <v>268</v>
      </c>
      <c r="E7" s="416" t="s">
        <v>1587</v>
      </c>
    </row>
    <row r="8" spans="1:5" ht="18.75" customHeight="1">
      <c r="A8" s="1017">
        <v>7130201343</v>
      </c>
      <c r="B8" s="1016" t="s">
        <v>1328</v>
      </c>
      <c r="C8" s="1008" t="s">
        <v>1329</v>
      </c>
      <c r="D8" s="1020">
        <v>10423</v>
      </c>
      <c r="E8" s="416"/>
    </row>
    <row r="9" spans="1:5" ht="15" customHeight="1">
      <c r="A9" s="1013">
        <v>7130210809</v>
      </c>
      <c r="B9" s="1011" t="s">
        <v>1171</v>
      </c>
      <c r="C9" s="1008" t="s">
        <v>436</v>
      </c>
      <c r="D9" s="1012">
        <v>290</v>
      </c>
      <c r="E9" s="416" t="s">
        <v>485</v>
      </c>
    </row>
    <row r="10" spans="1:5" ht="15" customHeight="1">
      <c r="A10" s="1017">
        <v>7130211121</v>
      </c>
      <c r="B10" s="1016" t="s">
        <v>371</v>
      </c>
      <c r="C10" s="1000" t="s">
        <v>456</v>
      </c>
      <c r="D10" s="1020">
        <v>223</v>
      </c>
      <c r="E10" s="416"/>
    </row>
    <row r="11" spans="1:5" ht="15" customHeight="1">
      <c r="A11" s="1013">
        <v>7130211158</v>
      </c>
      <c r="B11" s="1011" t="s">
        <v>242</v>
      </c>
      <c r="C11" s="1008" t="s">
        <v>436</v>
      </c>
      <c r="D11" s="1012">
        <v>130</v>
      </c>
      <c r="E11" s="416" t="s">
        <v>486</v>
      </c>
    </row>
    <row r="12" spans="1:5" ht="25.5">
      <c r="A12" s="1000">
        <v>7130300025</v>
      </c>
      <c r="B12" s="1016" t="s">
        <v>1070</v>
      </c>
      <c r="C12" s="1012" t="s">
        <v>1249</v>
      </c>
      <c r="D12" s="1012">
        <v>225744</v>
      </c>
      <c r="E12" s="416" t="s">
        <v>487</v>
      </c>
    </row>
    <row r="13" spans="1:5" ht="12.75">
      <c r="A13" s="1004">
        <v>7130310007</v>
      </c>
      <c r="B13" s="1003" t="s">
        <v>1244</v>
      </c>
      <c r="C13" s="1004" t="s">
        <v>528</v>
      </c>
      <c r="D13" s="1006">
        <v>73880</v>
      </c>
      <c r="E13" s="416" t="s">
        <v>488</v>
      </c>
    </row>
    <row r="14" spans="1:5" ht="15" customHeight="1">
      <c r="A14" s="1004">
        <v>7130310008</v>
      </c>
      <c r="B14" s="1003" t="s">
        <v>1245</v>
      </c>
      <c r="C14" s="1004" t="s">
        <v>528</v>
      </c>
      <c r="D14" s="1006">
        <v>92081</v>
      </c>
      <c r="E14" s="416" t="s">
        <v>489</v>
      </c>
    </row>
    <row r="15" spans="1:5" ht="16.5" customHeight="1">
      <c r="A15" s="1007">
        <v>7130310020</v>
      </c>
      <c r="B15" s="1023" t="s">
        <v>416</v>
      </c>
      <c r="C15" s="1002" t="s">
        <v>1249</v>
      </c>
      <c r="D15" s="1006">
        <v>2104858</v>
      </c>
      <c r="E15" s="416" t="s">
        <v>1598</v>
      </c>
    </row>
    <row r="16" spans="1:5" ht="17.25" customHeight="1">
      <c r="A16" s="1004">
        <v>7130310021</v>
      </c>
      <c r="B16" s="1003" t="s">
        <v>1242</v>
      </c>
      <c r="C16" s="1004" t="s">
        <v>528</v>
      </c>
      <c r="D16" s="1006">
        <v>39632</v>
      </c>
      <c r="E16" s="416" t="s">
        <v>490</v>
      </c>
    </row>
    <row r="17" spans="1:5" ht="12.75">
      <c r="A17" s="1004">
        <v>7130310022</v>
      </c>
      <c r="B17" s="1003" t="s">
        <v>1243</v>
      </c>
      <c r="C17" s="1004" t="s">
        <v>528</v>
      </c>
      <c r="D17" s="1006">
        <v>56726</v>
      </c>
      <c r="E17" s="416" t="s">
        <v>491</v>
      </c>
    </row>
    <row r="18" spans="1:5" ht="27.75" customHeight="1">
      <c r="A18" s="1008">
        <v>7130310031</v>
      </c>
      <c r="B18" s="1016" t="s">
        <v>1241</v>
      </c>
      <c r="C18" s="1012" t="s">
        <v>1249</v>
      </c>
      <c r="D18" s="1012">
        <v>59321</v>
      </c>
      <c r="E18" s="416" t="s">
        <v>492</v>
      </c>
    </row>
    <row r="19" spans="1:5" ht="29.25" customHeight="1">
      <c r="A19" s="1008">
        <v>7130310032</v>
      </c>
      <c r="B19" s="1016" t="s">
        <v>855</v>
      </c>
      <c r="C19" s="1012" t="s">
        <v>1249</v>
      </c>
      <c r="D19" s="1012">
        <v>75464</v>
      </c>
      <c r="E19" s="416" t="s">
        <v>493</v>
      </c>
    </row>
    <row r="20" spans="1:5" ht="30.75" customHeight="1">
      <c r="A20" s="1008">
        <v>7130310033</v>
      </c>
      <c r="B20" s="1016" t="s">
        <v>856</v>
      </c>
      <c r="C20" s="1012" t="s">
        <v>1249</v>
      </c>
      <c r="D20" s="1012">
        <v>93866</v>
      </c>
      <c r="E20" s="416" t="s">
        <v>494</v>
      </c>
    </row>
    <row r="21" spans="1:5" ht="12.75">
      <c r="A21" s="1021">
        <v>7130310038</v>
      </c>
      <c r="B21" s="1011" t="s">
        <v>403</v>
      </c>
      <c r="C21" s="1008" t="s">
        <v>404</v>
      </c>
      <c r="D21" s="1012">
        <v>6</v>
      </c>
      <c r="E21" s="416" t="s">
        <v>495</v>
      </c>
    </row>
    <row r="22" spans="1:5" ht="12.75">
      <c r="A22" s="1021">
        <v>7130310039</v>
      </c>
      <c r="B22" s="1011" t="s">
        <v>772</v>
      </c>
      <c r="C22" s="1008" t="s">
        <v>404</v>
      </c>
      <c r="D22" s="1012">
        <v>27</v>
      </c>
      <c r="E22" s="416" t="s">
        <v>496</v>
      </c>
    </row>
    <row r="23" spans="1:9" ht="14.25" customHeight="1">
      <c r="A23" s="1015">
        <v>7130310040</v>
      </c>
      <c r="B23" s="1011" t="s">
        <v>773</v>
      </c>
      <c r="C23" s="1008" t="s">
        <v>404</v>
      </c>
      <c r="D23" s="1012">
        <v>55</v>
      </c>
      <c r="E23" s="416" t="s">
        <v>497</v>
      </c>
      <c r="I23" s="65"/>
    </row>
    <row r="24" spans="1:5" ht="12.75">
      <c r="A24" s="1022">
        <v>7130310041</v>
      </c>
      <c r="B24" s="1003" t="s">
        <v>1246</v>
      </c>
      <c r="C24" s="1004" t="s">
        <v>528</v>
      </c>
      <c r="D24" s="1006">
        <v>101834</v>
      </c>
      <c r="E24" s="416" t="s">
        <v>498</v>
      </c>
    </row>
    <row r="25" spans="1:5" ht="12.75">
      <c r="A25" s="1022">
        <v>7130310042</v>
      </c>
      <c r="B25" s="1003" t="s">
        <v>1248</v>
      </c>
      <c r="C25" s="1002" t="s">
        <v>1249</v>
      </c>
      <c r="D25" s="1006">
        <v>66832</v>
      </c>
      <c r="E25" s="416" t="s">
        <v>499</v>
      </c>
    </row>
    <row r="26" spans="1:5" ht="12.75">
      <c r="A26" s="1022">
        <v>7130310044</v>
      </c>
      <c r="B26" s="1023" t="s">
        <v>773</v>
      </c>
      <c r="C26" s="1002" t="s">
        <v>1249</v>
      </c>
      <c r="D26" s="1006">
        <v>94953</v>
      </c>
      <c r="E26" s="416" t="s">
        <v>500</v>
      </c>
    </row>
    <row r="27" spans="1:5" ht="12.75">
      <c r="A27" s="1007">
        <v>7130310048</v>
      </c>
      <c r="B27" s="1023" t="s">
        <v>774</v>
      </c>
      <c r="C27" s="1002" t="s">
        <v>1249</v>
      </c>
      <c r="D27" s="1006">
        <v>139291</v>
      </c>
      <c r="E27" s="416"/>
    </row>
    <row r="28" spans="1:5" ht="12.75">
      <c r="A28" s="1024">
        <v>7130310049</v>
      </c>
      <c r="B28" s="1023" t="s">
        <v>844</v>
      </c>
      <c r="C28" s="1002" t="s">
        <v>1249</v>
      </c>
      <c r="D28" s="1006">
        <v>401162</v>
      </c>
      <c r="E28" s="416"/>
    </row>
    <row r="29" spans="1:5" ht="12.75">
      <c r="A29" s="1007">
        <v>7130310050</v>
      </c>
      <c r="B29" s="1023" t="s">
        <v>845</v>
      </c>
      <c r="C29" s="1002" t="s">
        <v>1249</v>
      </c>
      <c r="D29" s="1006">
        <v>1142914</v>
      </c>
      <c r="E29" s="416"/>
    </row>
    <row r="30" spans="1:5" ht="12.75">
      <c r="A30" s="1007">
        <v>7130310051</v>
      </c>
      <c r="B30" s="1023" t="s">
        <v>846</v>
      </c>
      <c r="C30" s="1002" t="s">
        <v>1249</v>
      </c>
      <c r="D30" s="1005">
        <v>841556</v>
      </c>
      <c r="E30" s="416" t="s">
        <v>501</v>
      </c>
    </row>
    <row r="31" spans="1:5" ht="15.75" customHeight="1">
      <c r="A31" s="1007">
        <v>7130310052</v>
      </c>
      <c r="B31" s="1023" t="s">
        <v>847</v>
      </c>
      <c r="C31" s="1002" t="s">
        <v>1249</v>
      </c>
      <c r="D31" s="1006">
        <v>1033058</v>
      </c>
      <c r="E31" s="416"/>
    </row>
    <row r="32" spans="1:5" ht="15.75" customHeight="1">
      <c r="A32" s="1007">
        <v>7130310053</v>
      </c>
      <c r="B32" s="1023" t="s">
        <v>848</v>
      </c>
      <c r="C32" s="1002" t="s">
        <v>1249</v>
      </c>
      <c r="D32" s="1006">
        <v>1180744</v>
      </c>
      <c r="E32" s="416" t="s">
        <v>502</v>
      </c>
    </row>
    <row r="33" spans="1:5" ht="12.75">
      <c r="A33" s="1007">
        <v>7130310054</v>
      </c>
      <c r="B33" s="1023" t="s">
        <v>849</v>
      </c>
      <c r="C33" s="1002" t="s">
        <v>1249</v>
      </c>
      <c r="D33" s="1006">
        <v>1501438</v>
      </c>
      <c r="E33" s="416" t="s">
        <v>503</v>
      </c>
    </row>
    <row r="34" spans="1:7" ht="25.5">
      <c r="A34" s="1017">
        <v>7130310055</v>
      </c>
      <c r="B34" s="1019" t="s">
        <v>850</v>
      </c>
      <c r="C34" s="1000" t="s">
        <v>802</v>
      </c>
      <c r="D34" s="1012">
        <v>17336</v>
      </c>
      <c r="E34" s="416"/>
      <c r="G34" s="65"/>
    </row>
    <row r="35" spans="1:7" ht="25.5">
      <c r="A35" s="1017">
        <v>7130310056</v>
      </c>
      <c r="B35" s="1019" t="s">
        <v>851</v>
      </c>
      <c r="C35" s="1000" t="s">
        <v>802</v>
      </c>
      <c r="D35" s="1025">
        <v>24765</v>
      </c>
      <c r="E35" s="416"/>
      <c r="G35" s="1138"/>
    </row>
    <row r="36" spans="1:7" ht="25.5">
      <c r="A36" s="1017">
        <v>7130310057</v>
      </c>
      <c r="B36" s="1016" t="s">
        <v>839</v>
      </c>
      <c r="C36" s="1012" t="s">
        <v>1249</v>
      </c>
      <c r="D36" s="1025">
        <v>287007</v>
      </c>
      <c r="E36" s="416" t="s">
        <v>1014</v>
      </c>
      <c r="G36" s="65"/>
    </row>
    <row r="37" spans="1:5" ht="25.5">
      <c r="A37" s="1017">
        <v>7130310058</v>
      </c>
      <c r="B37" s="1016" t="s">
        <v>1233</v>
      </c>
      <c r="C37" s="1012" t="s">
        <v>1249</v>
      </c>
      <c r="D37" s="1025">
        <v>406042</v>
      </c>
      <c r="E37" s="416"/>
    </row>
    <row r="38" spans="1:5" ht="25.5">
      <c r="A38" s="1017">
        <v>7130310059</v>
      </c>
      <c r="B38" s="1016" t="s">
        <v>1234</v>
      </c>
      <c r="C38" s="1012" t="s">
        <v>1249</v>
      </c>
      <c r="D38" s="1025">
        <v>607146</v>
      </c>
      <c r="E38" s="416"/>
    </row>
    <row r="39" spans="1:5" ht="25.5">
      <c r="A39" s="1017">
        <v>7130310060</v>
      </c>
      <c r="B39" s="1016" t="s">
        <v>1235</v>
      </c>
      <c r="C39" s="1012" t="s">
        <v>1249</v>
      </c>
      <c r="D39" s="1025">
        <v>572690</v>
      </c>
      <c r="E39" s="416"/>
    </row>
    <row r="40" spans="1:5" ht="25.5">
      <c r="A40" s="1017">
        <v>7130310061</v>
      </c>
      <c r="B40" s="1019" t="s">
        <v>1236</v>
      </c>
      <c r="C40" s="1000" t="s">
        <v>802</v>
      </c>
      <c r="D40" s="1012">
        <v>3784</v>
      </c>
      <c r="E40" s="416" t="s">
        <v>1015</v>
      </c>
    </row>
    <row r="41" spans="1:5" ht="25.5">
      <c r="A41" s="1017">
        <v>7130310062</v>
      </c>
      <c r="B41" s="1019" t="s">
        <v>1237</v>
      </c>
      <c r="C41" s="1000" t="s">
        <v>802</v>
      </c>
      <c r="D41" s="1012">
        <v>3982</v>
      </c>
      <c r="E41" s="416" t="s">
        <v>1015</v>
      </c>
    </row>
    <row r="42" spans="1:5" ht="25.5">
      <c r="A42" s="1015">
        <v>7130310063</v>
      </c>
      <c r="B42" s="1016" t="s">
        <v>1240</v>
      </c>
      <c r="C42" s="1012" t="s">
        <v>1249</v>
      </c>
      <c r="D42" s="1012">
        <v>50560</v>
      </c>
      <c r="E42" s="416" t="s">
        <v>1016</v>
      </c>
    </row>
    <row r="43" spans="1:6" ht="25.5" hidden="1">
      <c r="A43" s="1122">
        <v>7130310064</v>
      </c>
      <c r="B43" s="1133" t="s">
        <v>1040</v>
      </c>
      <c r="C43" s="1137" t="s">
        <v>1249</v>
      </c>
      <c r="D43" s="1123" t="s">
        <v>918</v>
      </c>
      <c r="E43" s="1124" t="s">
        <v>1016</v>
      </c>
      <c r="F43" s="1139"/>
    </row>
    <row r="44" spans="1:5" ht="25.5">
      <c r="A44" s="1008">
        <v>7130310065</v>
      </c>
      <c r="B44" s="1016" t="s">
        <v>857</v>
      </c>
      <c r="C44" s="1012" t="s">
        <v>1249</v>
      </c>
      <c r="D44" s="1012">
        <v>118163</v>
      </c>
      <c r="E44" s="416" t="s">
        <v>1017</v>
      </c>
    </row>
    <row r="45" spans="1:5" ht="25.5">
      <c r="A45" s="1015">
        <v>7130310066</v>
      </c>
      <c r="B45" s="1016" t="s">
        <v>1069</v>
      </c>
      <c r="C45" s="1012" t="s">
        <v>1249</v>
      </c>
      <c r="D45" s="1012">
        <v>129093</v>
      </c>
      <c r="E45" s="416" t="s">
        <v>1018</v>
      </c>
    </row>
    <row r="46" spans="1:6" ht="25.5" hidden="1">
      <c r="A46" s="1120">
        <v>7130310067</v>
      </c>
      <c r="B46" s="1133" t="s">
        <v>1347</v>
      </c>
      <c r="C46" s="1137" t="s">
        <v>1249</v>
      </c>
      <c r="D46" s="1123" t="s">
        <v>918</v>
      </c>
      <c r="E46" s="1124" t="s">
        <v>1018</v>
      </c>
      <c r="F46" s="1139"/>
    </row>
    <row r="47" spans="1:6" ht="25.5" hidden="1">
      <c r="A47" s="1120">
        <v>7130310068</v>
      </c>
      <c r="B47" s="1133" t="s">
        <v>1348</v>
      </c>
      <c r="C47" s="1137" t="s">
        <v>1249</v>
      </c>
      <c r="D47" s="1123" t="s">
        <v>918</v>
      </c>
      <c r="E47" s="1124"/>
      <c r="F47" s="1139"/>
    </row>
    <row r="48" spans="1:6" ht="25.5" hidden="1">
      <c r="A48" s="1120">
        <v>7130310069</v>
      </c>
      <c r="B48" s="1133" t="s">
        <v>1349</v>
      </c>
      <c r="C48" s="1137" t="s">
        <v>1249</v>
      </c>
      <c r="D48" s="1123" t="s">
        <v>918</v>
      </c>
      <c r="E48" s="1124" t="s">
        <v>1018</v>
      </c>
      <c r="F48" s="1139"/>
    </row>
    <row r="49" spans="1:5" ht="25.5">
      <c r="A49" s="1000">
        <v>7130310070</v>
      </c>
      <c r="B49" s="1016" t="s">
        <v>405</v>
      </c>
      <c r="C49" s="1012" t="s">
        <v>1249</v>
      </c>
      <c r="D49" s="1012">
        <v>47069</v>
      </c>
      <c r="E49" s="416" t="s">
        <v>1019</v>
      </c>
    </row>
    <row r="50" spans="1:5" ht="25.5">
      <c r="A50" s="1000">
        <v>7130310073</v>
      </c>
      <c r="B50" s="1016" t="s">
        <v>172</v>
      </c>
      <c r="C50" s="1012" t="s">
        <v>1249</v>
      </c>
      <c r="D50" s="1012">
        <v>60003</v>
      </c>
      <c r="E50" s="416" t="s">
        <v>1020</v>
      </c>
    </row>
    <row r="51" spans="1:5" ht="18" customHeight="1">
      <c r="A51" s="1007">
        <v>7130310075</v>
      </c>
      <c r="B51" s="1023" t="s">
        <v>849</v>
      </c>
      <c r="C51" s="1002" t="s">
        <v>1249</v>
      </c>
      <c r="D51" s="1006">
        <v>1926090</v>
      </c>
      <c r="E51" s="416" t="s">
        <v>1021</v>
      </c>
    </row>
    <row r="52" spans="1:5" ht="19.5" customHeight="1">
      <c r="A52" s="1017">
        <v>7130310076</v>
      </c>
      <c r="B52" s="1016" t="s">
        <v>532</v>
      </c>
      <c r="C52" s="1008" t="s">
        <v>1249</v>
      </c>
      <c r="D52" s="1012">
        <v>514014.41</v>
      </c>
      <c r="E52" s="222"/>
    </row>
    <row r="53" spans="1:5" ht="17.25" customHeight="1">
      <c r="A53" s="1017">
        <v>7130310077</v>
      </c>
      <c r="B53" s="1016" t="s">
        <v>417</v>
      </c>
      <c r="C53" s="1008" t="s">
        <v>1249</v>
      </c>
      <c r="D53" s="1012">
        <v>520056</v>
      </c>
      <c r="E53" s="416" t="s">
        <v>1022</v>
      </c>
    </row>
    <row r="54" spans="1:5" ht="17.25" customHeight="1">
      <c r="A54" s="1017">
        <v>7130310078</v>
      </c>
      <c r="B54" s="1016" t="s">
        <v>418</v>
      </c>
      <c r="C54" s="1008" t="s">
        <v>1249</v>
      </c>
      <c r="D54" s="1012">
        <v>775508</v>
      </c>
      <c r="E54" s="416" t="s">
        <v>1023</v>
      </c>
    </row>
    <row r="55" spans="1:5" ht="18" customHeight="1">
      <c r="A55" s="1017">
        <v>7130310079</v>
      </c>
      <c r="B55" s="1016" t="s">
        <v>419</v>
      </c>
      <c r="C55" s="1008" t="s">
        <v>1249</v>
      </c>
      <c r="D55" s="1012">
        <v>939613</v>
      </c>
      <c r="E55" s="416" t="s">
        <v>1024</v>
      </c>
    </row>
    <row r="56" spans="1:5" ht="15.75" customHeight="1">
      <c r="A56" s="1017">
        <v>7130310080</v>
      </c>
      <c r="B56" s="1016" t="s">
        <v>535</v>
      </c>
      <c r="C56" s="1008" t="s">
        <v>1249</v>
      </c>
      <c r="D56" s="1012">
        <v>1447702</v>
      </c>
      <c r="E56" s="416" t="s">
        <v>1025</v>
      </c>
    </row>
    <row r="57" spans="1:5" ht="12.75">
      <c r="A57" s="1013">
        <v>7130310652</v>
      </c>
      <c r="B57" s="1011" t="s">
        <v>1600</v>
      </c>
      <c r="C57" s="1008" t="s">
        <v>528</v>
      </c>
      <c r="D57" s="1012">
        <v>39708</v>
      </c>
      <c r="E57" s="222" t="s">
        <v>1026</v>
      </c>
    </row>
    <row r="58" spans="1:5" ht="14.25" customHeight="1">
      <c r="A58" s="1013">
        <v>7130310652</v>
      </c>
      <c r="B58" s="1011" t="s">
        <v>1599</v>
      </c>
      <c r="C58" s="1008" t="s">
        <v>528</v>
      </c>
      <c r="D58" s="1012">
        <v>78312</v>
      </c>
      <c r="E58" s="416" t="s">
        <v>1026</v>
      </c>
    </row>
    <row r="59" spans="1:5" ht="12.75">
      <c r="A59" s="1013">
        <v>7130310654</v>
      </c>
      <c r="B59" s="1011" t="s">
        <v>1601</v>
      </c>
      <c r="C59" s="1008" t="s">
        <v>528</v>
      </c>
      <c r="D59" s="1012">
        <v>67671</v>
      </c>
      <c r="E59" s="222" t="s">
        <v>1027</v>
      </c>
    </row>
    <row r="60" spans="1:5" ht="12.75">
      <c r="A60" s="1008">
        <v>7130310654</v>
      </c>
      <c r="B60" s="1011" t="s">
        <v>1602</v>
      </c>
      <c r="C60" s="1008" t="s">
        <v>528</v>
      </c>
      <c r="D60" s="1012">
        <v>112811</v>
      </c>
      <c r="E60" s="222" t="s">
        <v>1027</v>
      </c>
    </row>
    <row r="61" spans="1:5" ht="12.75">
      <c r="A61" s="1013">
        <v>7130310658</v>
      </c>
      <c r="B61" s="1011" t="s">
        <v>1603</v>
      </c>
      <c r="C61" s="1008" t="s">
        <v>528</v>
      </c>
      <c r="D61" s="1012">
        <v>125719</v>
      </c>
      <c r="E61" s="222" t="s">
        <v>1028</v>
      </c>
    </row>
    <row r="62" spans="1:5" ht="12.75">
      <c r="A62" s="1013">
        <v>7130310660</v>
      </c>
      <c r="B62" s="1011" t="s">
        <v>1604</v>
      </c>
      <c r="C62" s="1008" t="s">
        <v>528</v>
      </c>
      <c r="D62" s="1012">
        <v>154500</v>
      </c>
      <c r="E62" s="222" t="s">
        <v>1077</v>
      </c>
    </row>
    <row r="63" spans="1:5" ht="12.75">
      <c r="A63" s="1013">
        <v>7130310660</v>
      </c>
      <c r="B63" s="1011" t="s">
        <v>1605</v>
      </c>
      <c r="C63" s="1008" t="s">
        <v>528</v>
      </c>
      <c r="D63" s="1012">
        <v>172208</v>
      </c>
      <c r="E63" s="222" t="s">
        <v>1077</v>
      </c>
    </row>
    <row r="64" spans="1:5" ht="12.75">
      <c r="A64" s="1013">
        <v>7130310662</v>
      </c>
      <c r="B64" s="1011" t="s">
        <v>1606</v>
      </c>
      <c r="C64" s="1008" t="s">
        <v>528</v>
      </c>
      <c r="D64" s="1012">
        <v>173129</v>
      </c>
      <c r="E64" s="222" t="s">
        <v>1078</v>
      </c>
    </row>
    <row r="65" spans="1:5" ht="12.75">
      <c r="A65" s="1000">
        <v>7130311008</v>
      </c>
      <c r="B65" s="1011" t="s">
        <v>529</v>
      </c>
      <c r="C65" s="1008" t="s">
        <v>530</v>
      </c>
      <c r="D65" s="1012">
        <v>15990</v>
      </c>
      <c r="E65" s="222" t="s">
        <v>1079</v>
      </c>
    </row>
    <row r="66" spans="1:5" ht="12.75">
      <c r="A66" s="1008">
        <v>7130311009</v>
      </c>
      <c r="B66" s="1011" t="s">
        <v>531</v>
      </c>
      <c r="C66" s="1008" t="s">
        <v>530</v>
      </c>
      <c r="D66" s="1012">
        <v>38685</v>
      </c>
      <c r="E66" s="222" t="s">
        <v>1080</v>
      </c>
    </row>
    <row r="67" spans="1:5" ht="12.75">
      <c r="A67" s="1008">
        <v>7130311010</v>
      </c>
      <c r="B67" s="1011" t="s">
        <v>532</v>
      </c>
      <c r="C67" s="1008" t="s">
        <v>530</v>
      </c>
      <c r="D67" s="1012">
        <v>52581</v>
      </c>
      <c r="E67" s="222" t="s">
        <v>1081</v>
      </c>
    </row>
    <row r="68" spans="1:5" ht="12.75" customHeight="1">
      <c r="A68" s="1008">
        <v>7130311011</v>
      </c>
      <c r="B68" s="1011" t="s">
        <v>533</v>
      </c>
      <c r="C68" s="1008" t="s">
        <v>530</v>
      </c>
      <c r="D68" s="1012">
        <v>101586</v>
      </c>
      <c r="E68" s="222" t="s">
        <v>1082</v>
      </c>
    </row>
    <row r="69" spans="1:5" ht="12.75">
      <c r="A69" s="1008">
        <v>7130311012</v>
      </c>
      <c r="B69" s="1011" t="s">
        <v>534</v>
      </c>
      <c r="C69" s="1008" t="s">
        <v>530</v>
      </c>
      <c r="D69" s="1012">
        <v>198613</v>
      </c>
      <c r="E69" s="222" t="s">
        <v>1083</v>
      </c>
    </row>
    <row r="70" spans="1:5" ht="12.75">
      <c r="A70" s="1008">
        <v>7130311013</v>
      </c>
      <c r="B70" s="1011" t="s">
        <v>535</v>
      </c>
      <c r="C70" s="1008" t="s">
        <v>530</v>
      </c>
      <c r="D70" s="1012">
        <v>247683</v>
      </c>
      <c r="E70" s="222" t="s">
        <v>1084</v>
      </c>
    </row>
    <row r="71" spans="1:5" ht="12.75">
      <c r="A71" s="1010">
        <v>7130311054</v>
      </c>
      <c r="B71" s="1003" t="s">
        <v>843</v>
      </c>
      <c r="C71" s="1002" t="s">
        <v>1249</v>
      </c>
      <c r="D71" s="1006">
        <v>213718</v>
      </c>
      <c r="E71" s="222" t="s">
        <v>1085</v>
      </c>
    </row>
    <row r="72" spans="1:5" ht="12.75" customHeight="1">
      <c r="A72" s="1010">
        <v>7130311057</v>
      </c>
      <c r="B72" s="1003" t="s">
        <v>1246</v>
      </c>
      <c r="C72" s="1002" t="s">
        <v>1249</v>
      </c>
      <c r="D72" s="1006">
        <v>412459</v>
      </c>
      <c r="E72" s="222" t="s">
        <v>1086</v>
      </c>
    </row>
    <row r="73" spans="1:5" ht="12.75">
      <c r="A73" s="1010">
        <v>7130311061</v>
      </c>
      <c r="B73" s="1003" t="s">
        <v>1247</v>
      </c>
      <c r="C73" s="1002" t="s">
        <v>1249</v>
      </c>
      <c r="D73" s="1006">
        <v>784944</v>
      </c>
      <c r="E73" s="222" t="s">
        <v>1087</v>
      </c>
    </row>
    <row r="74" spans="1:5" ht="12.75">
      <c r="A74" s="1010">
        <v>7130311084</v>
      </c>
      <c r="B74" s="1003" t="s">
        <v>1248</v>
      </c>
      <c r="C74" s="1002" t="s">
        <v>1249</v>
      </c>
      <c r="D74" s="1006">
        <v>99916</v>
      </c>
      <c r="E74" s="222" t="s">
        <v>1088</v>
      </c>
    </row>
    <row r="75" spans="1:7" ht="25.5">
      <c r="A75" s="1017">
        <v>7130320037</v>
      </c>
      <c r="B75" s="1019" t="s">
        <v>852</v>
      </c>
      <c r="C75" s="1000" t="s">
        <v>802</v>
      </c>
      <c r="D75" s="1025">
        <v>9906</v>
      </c>
      <c r="E75" s="222"/>
      <c r="G75" s="1138"/>
    </row>
    <row r="76" spans="1:7" ht="25.5">
      <c r="A76" s="1017">
        <v>7130320038</v>
      </c>
      <c r="B76" s="1019" t="s">
        <v>853</v>
      </c>
      <c r="C76" s="1000" t="s">
        <v>802</v>
      </c>
      <c r="D76" s="1025">
        <v>12383</v>
      </c>
      <c r="E76" s="222" t="s">
        <v>1089</v>
      </c>
      <c r="G76" s="1138"/>
    </row>
    <row r="77" spans="1:7" ht="18.75" customHeight="1">
      <c r="A77" s="1017">
        <v>7130320039</v>
      </c>
      <c r="B77" s="1019" t="s">
        <v>1205</v>
      </c>
      <c r="C77" s="1000" t="s">
        <v>802</v>
      </c>
      <c r="D77" s="1025">
        <v>14859</v>
      </c>
      <c r="E77" s="222" t="s">
        <v>1090</v>
      </c>
      <c r="G77" s="1138"/>
    </row>
    <row r="78" spans="1:7" ht="26.25" customHeight="1">
      <c r="A78" s="1017">
        <v>7130320040</v>
      </c>
      <c r="B78" s="1019" t="s">
        <v>835</v>
      </c>
      <c r="C78" s="1000" t="s">
        <v>802</v>
      </c>
      <c r="D78" s="1025">
        <v>17336</v>
      </c>
      <c r="E78" s="222" t="s">
        <v>1091</v>
      </c>
      <c r="G78" s="1138"/>
    </row>
    <row r="79" spans="1:7" ht="27" customHeight="1">
      <c r="A79" s="1017">
        <v>7130320041</v>
      </c>
      <c r="B79" s="1019" t="s">
        <v>836</v>
      </c>
      <c r="C79" s="1000" t="s">
        <v>802</v>
      </c>
      <c r="D79" s="1025">
        <v>18574</v>
      </c>
      <c r="E79" s="222"/>
      <c r="G79" s="1138"/>
    </row>
    <row r="80" spans="1:7" ht="21.75" customHeight="1">
      <c r="A80" s="1017">
        <v>7130320042</v>
      </c>
      <c r="B80" s="1019" t="s">
        <v>837</v>
      </c>
      <c r="C80" s="1000" t="s">
        <v>802</v>
      </c>
      <c r="D80" s="1025">
        <v>22289</v>
      </c>
      <c r="E80" s="222"/>
      <c r="G80" s="1138"/>
    </row>
    <row r="81" spans="1:7" ht="28.5" customHeight="1">
      <c r="A81" s="1017">
        <v>7130320043</v>
      </c>
      <c r="B81" s="1019" t="s">
        <v>353</v>
      </c>
      <c r="C81" s="1000" t="s">
        <v>1553</v>
      </c>
      <c r="D81" s="1025">
        <v>780</v>
      </c>
      <c r="E81" s="222" t="s">
        <v>1092</v>
      </c>
      <c r="G81" s="1138"/>
    </row>
    <row r="82" spans="1:7" ht="25.5">
      <c r="A82" s="1026">
        <v>7130320044</v>
      </c>
      <c r="B82" s="1019" t="s">
        <v>352</v>
      </c>
      <c r="C82" s="1000" t="s">
        <v>1553</v>
      </c>
      <c r="D82" s="1025">
        <v>842</v>
      </c>
      <c r="E82" s="222"/>
      <c r="G82" s="1138"/>
    </row>
    <row r="83" spans="1:7" ht="19.5" customHeight="1">
      <c r="A83" s="1026">
        <v>7130320045</v>
      </c>
      <c r="B83" s="1019" t="s">
        <v>838</v>
      </c>
      <c r="C83" s="1000" t="s">
        <v>1553</v>
      </c>
      <c r="D83" s="1009">
        <v>25</v>
      </c>
      <c r="E83" s="222"/>
      <c r="G83" s="1138"/>
    </row>
    <row r="84" spans="1:6" ht="18" hidden="1">
      <c r="A84" s="1120">
        <v>7130320046</v>
      </c>
      <c r="B84" s="1125" t="s">
        <v>1037</v>
      </c>
      <c r="C84" s="1120" t="s">
        <v>802</v>
      </c>
      <c r="D84" s="1123" t="s">
        <v>918</v>
      </c>
      <c r="E84" s="1124" t="s">
        <v>1093</v>
      </c>
      <c r="F84" s="1139"/>
    </row>
    <row r="85" spans="1:6" ht="25.5" hidden="1">
      <c r="A85" s="1120">
        <v>7130320047</v>
      </c>
      <c r="B85" s="1125" t="s">
        <v>1038</v>
      </c>
      <c r="C85" s="1120" t="s">
        <v>802</v>
      </c>
      <c r="D85" s="1123" t="s">
        <v>918</v>
      </c>
      <c r="E85" s="1124" t="s">
        <v>1094</v>
      </c>
      <c r="F85" s="1139"/>
    </row>
    <row r="86" spans="1:5" ht="25.5">
      <c r="A86" s="1017">
        <v>7130320048</v>
      </c>
      <c r="B86" s="1019" t="s">
        <v>1238</v>
      </c>
      <c r="C86" s="1000" t="s">
        <v>802</v>
      </c>
      <c r="D86" s="1012">
        <v>2396</v>
      </c>
      <c r="E86" s="416" t="s">
        <v>504</v>
      </c>
    </row>
    <row r="87" spans="1:5" ht="25.5">
      <c r="A87" s="1017">
        <v>7130320049</v>
      </c>
      <c r="B87" s="1019" t="s">
        <v>1239</v>
      </c>
      <c r="C87" s="1000" t="s">
        <v>802</v>
      </c>
      <c r="D87" s="1012">
        <v>2524</v>
      </c>
      <c r="E87" s="416"/>
    </row>
    <row r="88" spans="1:5" ht="25.5">
      <c r="A88" s="1017">
        <v>7130320053</v>
      </c>
      <c r="B88" s="1016" t="s">
        <v>182</v>
      </c>
      <c r="C88" s="1000" t="s">
        <v>452</v>
      </c>
      <c r="D88" s="1012">
        <v>5</v>
      </c>
      <c r="E88" s="416" t="s">
        <v>505</v>
      </c>
    </row>
    <row r="89" spans="1:5" ht="25.5">
      <c r="A89" s="1017">
        <v>7130352010</v>
      </c>
      <c r="B89" s="1016" t="s">
        <v>712</v>
      </c>
      <c r="C89" s="1008" t="s">
        <v>802</v>
      </c>
      <c r="D89" s="1012">
        <v>35084</v>
      </c>
      <c r="E89" s="416" t="s">
        <v>506</v>
      </c>
    </row>
    <row r="90" spans="1:5" ht="12.75">
      <c r="A90" s="1022">
        <v>7130352030</v>
      </c>
      <c r="B90" s="1023" t="s">
        <v>183</v>
      </c>
      <c r="C90" s="1002" t="s">
        <v>802</v>
      </c>
      <c r="D90" s="1005">
        <v>804</v>
      </c>
      <c r="E90" s="416"/>
    </row>
    <row r="91" spans="1:5" ht="12.75">
      <c r="A91" s="1022">
        <v>7130352031</v>
      </c>
      <c r="B91" s="1023" t="s">
        <v>184</v>
      </c>
      <c r="C91" s="1002" t="s">
        <v>802</v>
      </c>
      <c r="D91" s="1005">
        <v>804</v>
      </c>
      <c r="E91" s="416" t="s">
        <v>507</v>
      </c>
    </row>
    <row r="92" spans="1:5" ht="12.75">
      <c r="A92" s="1022">
        <v>7130352032</v>
      </c>
      <c r="B92" s="1023" t="s">
        <v>185</v>
      </c>
      <c r="C92" s="1002" t="s">
        <v>802</v>
      </c>
      <c r="D92" s="1005">
        <v>863</v>
      </c>
      <c r="E92" s="222"/>
    </row>
    <row r="93" spans="1:5" ht="12.75">
      <c r="A93" s="1022">
        <v>7130352033</v>
      </c>
      <c r="B93" s="1023" t="s">
        <v>412</v>
      </c>
      <c r="C93" s="1002" t="s">
        <v>802</v>
      </c>
      <c r="D93" s="1005">
        <v>1213</v>
      </c>
      <c r="E93" s="222"/>
    </row>
    <row r="94" spans="1:5" ht="12.75">
      <c r="A94" s="1022">
        <v>7130352034</v>
      </c>
      <c r="B94" s="1023" t="s">
        <v>413</v>
      </c>
      <c r="C94" s="1002" t="s">
        <v>802</v>
      </c>
      <c r="D94" s="1005">
        <v>1808</v>
      </c>
      <c r="E94" s="222"/>
    </row>
    <row r="95" spans="1:5" ht="12.75" customHeight="1">
      <c r="A95" s="1022">
        <v>7130352035</v>
      </c>
      <c r="B95" s="1023" t="s">
        <v>414</v>
      </c>
      <c r="C95" s="1002" t="s">
        <v>802</v>
      </c>
      <c r="D95" s="1005">
        <v>2923</v>
      </c>
      <c r="E95" s="222"/>
    </row>
    <row r="96" spans="1:5" ht="12.75">
      <c r="A96" s="1022">
        <v>7130352036</v>
      </c>
      <c r="B96" s="1023" t="s">
        <v>415</v>
      </c>
      <c r="C96" s="1002" t="s">
        <v>802</v>
      </c>
      <c r="D96" s="1005">
        <v>3735</v>
      </c>
      <c r="E96" s="222"/>
    </row>
    <row r="97" spans="1:5" ht="25.5">
      <c r="A97" s="1017">
        <v>7130352037</v>
      </c>
      <c r="B97" s="1016" t="s">
        <v>555</v>
      </c>
      <c r="C97" s="1008" t="s">
        <v>802</v>
      </c>
      <c r="D97" s="1012">
        <v>21050</v>
      </c>
      <c r="E97" s="416" t="s">
        <v>508</v>
      </c>
    </row>
    <row r="98" spans="1:5" ht="12.75">
      <c r="A98" s="1007">
        <v>7130352038</v>
      </c>
      <c r="B98" s="1023" t="s">
        <v>420</v>
      </c>
      <c r="C98" s="1002" t="s">
        <v>802</v>
      </c>
      <c r="D98" s="1005">
        <v>7880</v>
      </c>
      <c r="E98" s="222"/>
    </row>
    <row r="99" spans="1:5" ht="12.75">
      <c r="A99" s="1007">
        <v>7130352039</v>
      </c>
      <c r="B99" s="1023" t="s">
        <v>421</v>
      </c>
      <c r="C99" s="1002" t="s">
        <v>802</v>
      </c>
      <c r="D99" s="1009">
        <v>8701</v>
      </c>
      <c r="E99" s="222" t="s">
        <v>509</v>
      </c>
    </row>
    <row r="100" spans="1:5" ht="12.75">
      <c r="A100" s="1007">
        <v>7130352040</v>
      </c>
      <c r="B100" s="1023" t="s">
        <v>422</v>
      </c>
      <c r="C100" s="1002" t="s">
        <v>802</v>
      </c>
      <c r="D100" s="1005">
        <v>10187</v>
      </c>
      <c r="E100" s="222" t="s">
        <v>510</v>
      </c>
    </row>
    <row r="101" spans="1:5" ht="12.75">
      <c r="A101" s="1007">
        <v>7130352041</v>
      </c>
      <c r="B101" s="1023" t="s">
        <v>423</v>
      </c>
      <c r="C101" s="1002" t="s">
        <v>802</v>
      </c>
      <c r="D101" s="1009">
        <v>10751</v>
      </c>
      <c r="E101" s="222" t="s">
        <v>511</v>
      </c>
    </row>
    <row r="102" spans="1:5" ht="12.75">
      <c r="A102" s="1007">
        <v>7130352042</v>
      </c>
      <c r="B102" s="1023" t="s">
        <v>424</v>
      </c>
      <c r="C102" s="1002" t="s">
        <v>802</v>
      </c>
      <c r="D102" s="1009">
        <v>11000</v>
      </c>
      <c r="E102" s="222" t="s">
        <v>512</v>
      </c>
    </row>
    <row r="103" spans="1:5" ht="12.75">
      <c r="A103" s="1017">
        <v>7130352043</v>
      </c>
      <c r="B103" s="1023" t="s">
        <v>421</v>
      </c>
      <c r="C103" s="1000" t="s">
        <v>802</v>
      </c>
      <c r="D103" s="1025">
        <v>2406</v>
      </c>
      <c r="E103" s="222" t="s">
        <v>513</v>
      </c>
    </row>
    <row r="104" spans="1:5" ht="12.75">
      <c r="A104" s="1017">
        <v>7130352044</v>
      </c>
      <c r="B104" s="1023" t="s">
        <v>423</v>
      </c>
      <c r="C104" s="1000" t="s">
        <v>802</v>
      </c>
      <c r="D104" s="1025">
        <v>2561</v>
      </c>
      <c r="E104" s="222" t="s">
        <v>514</v>
      </c>
    </row>
    <row r="105" spans="1:5" ht="12.75">
      <c r="A105" s="1017">
        <v>7130352045</v>
      </c>
      <c r="B105" s="1023" t="s">
        <v>424</v>
      </c>
      <c r="C105" s="1000" t="s">
        <v>802</v>
      </c>
      <c r="D105" s="1025">
        <v>2630</v>
      </c>
      <c r="E105" s="222" t="s">
        <v>515</v>
      </c>
    </row>
    <row r="106" spans="1:5" ht="12.75">
      <c r="A106" s="1024">
        <v>7130352046</v>
      </c>
      <c r="B106" s="1003" t="s">
        <v>1068</v>
      </c>
      <c r="C106" s="1004" t="s">
        <v>803</v>
      </c>
      <c r="D106" s="1006">
        <v>3096</v>
      </c>
      <c r="E106" s="222" t="s">
        <v>516</v>
      </c>
    </row>
    <row r="107" spans="1:5" ht="12.75">
      <c r="A107" s="1017">
        <v>7130354274</v>
      </c>
      <c r="B107" s="1019" t="s">
        <v>1149</v>
      </c>
      <c r="C107" s="1000" t="s">
        <v>1230</v>
      </c>
      <c r="D107" s="1020">
        <v>2</v>
      </c>
      <c r="E107" s="222" t="s">
        <v>517</v>
      </c>
    </row>
    <row r="108" spans="1:5" ht="12.75">
      <c r="A108" s="1017">
        <v>7130354275</v>
      </c>
      <c r="B108" s="1019" t="s">
        <v>1150</v>
      </c>
      <c r="C108" s="1000" t="s">
        <v>1230</v>
      </c>
      <c r="D108" s="1020">
        <v>2</v>
      </c>
      <c r="E108" s="222" t="s">
        <v>639</v>
      </c>
    </row>
    <row r="109" spans="1:5" ht="12.75">
      <c r="A109" s="1017">
        <v>7130354276</v>
      </c>
      <c r="B109" s="1019" t="s">
        <v>1151</v>
      </c>
      <c r="C109" s="1000" t="s">
        <v>1230</v>
      </c>
      <c r="D109" s="1020">
        <v>4</v>
      </c>
      <c r="E109" s="222"/>
    </row>
    <row r="110" spans="1:5" ht="12.75">
      <c r="A110" s="1017">
        <v>7130354277</v>
      </c>
      <c r="B110" s="1019" t="s">
        <v>1152</v>
      </c>
      <c r="C110" s="1000" t="s">
        <v>1230</v>
      </c>
      <c r="D110" s="1020">
        <v>5</v>
      </c>
      <c r="E110" s="222"/>
    </row>
    <row r="111" spans="1:5" ht="12.75">
      <c r="A111" s="1017">
        <v>7130354278</v>
      </c>
      <c r="B111" s="1019" t="s">
        <v>1153</v>
      </c>
      <c r="C111" s="1000" t="s">
        <v>1230</v>
      </c>
      <c r="D111" s="1020">
        <v>8</v>
      </c>
      <c r="E111" s="222" t="s">
        <v>640</v>
      </c>
    </row>
    <row r="112" spans="1:5" ht="12.75">
      <c r="A112" s="1017">
        <v>7130354279</v>
      </c>
      <c r="B112" s="1019" t="s">
        <v>1154</v>
      </c>
      <c r="C112" s="1000" t="s">
        <v>1230</v>
      </c>
      <c r="D112" s="1020">
        <v>13</v>
      </c>
      <c r="E112" s="222" t="s">
        <v>641</v>
      </c>
    </row>
    <row r="113" spans="1:5" ht="12.75">
      <c r="A113" s="1017">
        <v>7130354280</v>
      </c>
      <c r="B113" s="1019" t="s">
        <v>1155</v>
      </c>
      <c r="C113" s="1000" t="s">
        <v>1230</v>
      </c>
      <c r="D113" s="1020">
        <v>16</v>
      </c>
      <c r="E113" s="222" t="s">
        <v>642</v>
      </c>
    </row>
    <row r="114" spans="1:5" ht="12.75" customHeight="1">
      <c r="A114" s="1017">
        <v>7130354281</v>
      </c>
      <c r="B114" s="1019" t="s">
        <v>1156</v>
      </c>
      <c r="C114" s="1000" t="s">
        <v>1230</v>
      </c>
      <c r="D114" s="1020">
        <v>22</v>
      </c>
      <c r="E114" s="222" t="s">
        <v>643</v>
      </c>
    </row>
    <row r="115" spans="1:5" ht="17.25" customHeight="1">
      <c r="A115" s="1017">
        <v>7130354282</v>
      </c>
      <c r="B115" s="1019" t="s">
        <v>1157</v>
      </c>
      <c r="C115" s="1000" t="s">
        <v>1230</v>
      </c>
      <c r="D115" s="1020">
        <v>25</v>
      </c>
      <c r="E115" s="222" t="s">
        <v>644</v>
      </c>
    </row>
    <row r="116" spans="1:5" ht="12.75">
      <c r="A116" s="1017">
        <v>7130354283</v>
      </c>
      <c r="B116" s="1019" t="s">
        <v>134</v>
      </c>
      <c r="C116" s="1000" t="s">
        <v>1230</v>
      </c>
      <c r="D116" s="1020">
        <v>40</v>
      </c>
      <c r="E116" s="222"/>
    </row>
    <row r="117" spans="1:5" ht="12.75">
      <c r="A117" s="1017">
        <v>7130354284</v>
      </c>
      <c r="B117" s="1019" t="s">
        <v>135</v>
      </c>
      <c r="C117" s="1000" t="s">
        <v>1230</v>
      </c>
      <c r="D117" s="1020">
        <v>46</v>
      </c>
      <c r="E117" s="222"/>
    </row>
    <row r="118" spans="1:5" ht="12.75" customHeight="1">
      <c r="A118" s="1017">
        <v>7130354285</v>
      </c>
      <c r="B118" s="1019" t="s">
        <v>136</v>
      </c>
      <c r="C118" s="1000" t="s">
        <v>1230</v>
      </c>
      <c r="D118" s="1020">
        <v>66</v>
      </c>
      <c r="E118" s="222"/>
    </row>
    <row r="119" spans="1:5" ht="12.75">
      <c r="A119" s="1017">
        <v>7130354286</v>
      </c>
      <c r="B119" s="1019" t="s">
        <v>137</v>
      </c>
      <c r="C119" s="1000" t="s">
        <v>1230</v>
      </c>
      <c r="D119" s="1020">
        <v>77</v>
      </c>
      <c r="E119" s="222" t="s">
        <v>645</v>
      </c>
    </row>
    <row r="120" spans="1:5" ht="12.75">
      <c r="A120" s="1017">
        <v>7130354287</v>
      </c>
      <c r="B120" s="1019" t="s">
        <v>138</v>
      </c>
      <c r="C120" s="1000" t="s">
        <v>1230</v>
      </c>
      <c r="D120" s="1020">
        <v>100</v>
      </c>
      <c r="E120" s="222"/>
    </row>
    <row r="121" spans="1:5" ht="25.5">
      <c r="A121" s="1000">
        <v>7130354442</v>
      </c>
      <c r="B121" s="1016" t="s">
        <v>177</v>
      </c>
      <c r="C121" s="1012" t="s">
        <v>1230</v>
      </c>
      <c r="D121" s="1012">
        <v>627</v>
      </c>
      <c r="E121" s="416" t="s">
        <v>646</v>
      </c>
    </row>
    <row r="122" spans="1:5" ht="38.25">
      <c r="A122" s="1000">
        <v>7130390003</v>
      </c>
      <c r="B122" s="1016" t="s">
        <v>174</v>
      </c>
      <c r="C122" s="1012" t="s">
        <v>1230</v>
      </c>
      <c r="D122" s="1012">
        <v>80</v>
      </c>
      <c r="E122" s="416" t="s">
        <v>647</v>
      </c>
    </row>
    <row r="123" spans="1:5" ht="38.25">
      <c r="A123" s="1000">
        <v>7130390004</v>
      </c>
      <c r="B123" s="1016" t="s">
        <v>175</v>
      </c>
      <c r="C123" s="1012" t="s">
        <v>1230</v>
      </c>
      <c r="D123" s="1012">
        <v>104</v>
      </c>
      <c r="E123" s="416" t="s">
        <v>648</v>
      </c>
    </row>
    <row r="124" spans="1:5" ht="39.75" customHeight="1">
      <c r="A124" s="1000">
        <v>7130390005</v>
      </c>
      <c r="B124" s="1016" t="s">
        <v>176</v>
      </c>
      <c r="C124" s="1012" t="s">
        <v>1230</v>
      </c>
      <c r="D124" s="1012">
        <v>145</v>
      </c>
      <c r="E124" s="416" t="s">
        <v>1041</v>
      </c>
    </row>
    <row r="125" spans="1:5" ht="18" customHeight="1">
      <c r="A125" s="1017">
        <v>7130390006</v>
      </c>
      <c r="B125" s="1016" t="s">
        <v>181</v>
      </c>
      <c r="C125" s="1000" t="s">
        <v>1553</v>
      </c>
      <c r="D125" s="1020">
        <v>149</v>
      </c>
      <c r="E125" s="416" t="s">
        <v>1042</v>
      </c>
    </row>
    <row r="126" spans="1:5" ht="16.5" customHeight="1">
      <c r="A126" s="1000">
        <v>7130390007</v>
      </c>
      <c r="B126" s="1016" t="s">
        <v>1400</v>
      </c>
      <c r="C126" s="1012" t="s">
        <v>1230</v>
      </c>
      <c r="D126" s="1012">
        <v>172</v>
      </c>
      <c r="E126" s="416" t="s">
        <v>1043</v>
      </c>
    </row>
    <row r="127" spans="1:6" ht="25.5" hidden="1">
      <c r="A127" s="1120">
        <v>7130390008</v>
      </c>
      <c r="B127" s="1133" t="s">
        <v>1354</v>
      </c>
      <c r="C127" s="1120" t="s">
        <v>1553</v>
      </c>
      <c r="D127" s="1123" t="s">
        <v>918</v>
      </c>
      <c r="E127" s="1129"/>
      <c r="F127" s="1139"/>
    </row>
    <row r="128" spans="1:6" ht="25.5" hidden="1">
      <c r="A128" s="1120">
        <v>7130390017</v>
      </c>
      <c r="B128" s="1125" t="s">
        <v>1254</v>
      </c>
      <c r="C128" s="1120" t="s">
        <v>1553</v>
      </c>
      <c r="D128" s="1123" t="s">
        <v>918</v>
      </c>
      <c r="E128" s="1129"/>
      <c r="F128" s="1139"/>
    </row>
    <row r="129" spans="1:6" ht="25.5" hidden="1">
      <c r="A129" s="1120">
        <v>7130390018</v>
      </c>
      <c r="B129" s="1133" t="s">
        <v>1255</v>
      </c>
      <c r="C129" s="1120" t="s">
        <v>1553</v>
      </c>
      <c r="D129" s="1123" t="s">
        <v>918</v>
      </c>
      <c r="E129" s="1129"/>
      <c r="F129" s="1139"/>
    </row>
    <row r="130" spans="1:5" ht="17.25" customHeight="1">
      <c r="A130" s="1017">
        <v>7130390019</v>
      </c>
      <c r="B130" s="1016" t="s">
        <v>1401</v>
      </c>
      <c r="C130" s="1000" t="s">
        <v>1230</v>
      </c>
      <c r="D130" s="1020">
        <v>28</v>
      </c>
      <c r="E130" s="416" t="s">
        <v>1044</v>
      </c>
    </row>
    <row r="131" spans="1:5" ht="17.25" customHeight="1">
      <c r="A131" s="1013">
        <v>7130600023</v>
      </c>
      <c r="B131" s="1011" t="s">
        <v>916</v>
      </c>
      <c r="C131" s="1008" t="s">
        <v>521</v>
      </c>
      <c r="D131" s="1012">
        <v>40214</v>
      </c>
      <c r="E131" s="416" t="s">
        <v>1045</v>
      </c>
    </row>
    <row r="132" spans="1:5" ht="17.25" customHeight="1">
      <c r="A132" s="1013">
        <v>7130600032</v>
      </c>
      <c r="B132" s="1011" t="s">
        <v>915</v>
      </c>
      <c r="C132" s="1008" t="s">
        <v>521</v>
      </c>
      <c r="D132" s="1012">
        <v>40214</v>
      </c>
      <c r="E132" s="416" t="s">
        <v>1046</v>
      </c>
    </row>
    <row r="133" spans="1:5" ht="17.25" customHeight="1">
      <c r="A133" s="1013">
        <v>7130600051</v>
      </c>
      <c r="B133" s="1011" t="s">
        <v>656</v>
      </c>
      <c r="C133" s="1008" t="s">
        <v>521</v>
      </c>
      <c r="D133" s="1012">
        <v>40214</v>
      </c>
      <c r="E133" s="416" t="s">
        <v>1047</v>
      </c>
    </row>
    <row r="134" spans="1:6" ht="25.5" hidden="1">
      <c r="A134" s="1135">
        <v>7130600075</v>
      </c>
      <c r="B134" s="1125" t="s">
        <v>1123</v>
      </c>
      <c r="C134" s="1120" t="s">
        <v>1553</v>
      </c>
      <c r="D134" s="1123" t="s">
        <v>918</v>
      </c>
      <c r="E134" s="1124" t="s">
        <v>1048</v>
      </c>
      <c r="F134" s="1139"/>
    </row>
    <row r="135" spans="1:5" ht="12.75">
      <c r="A135" s="1008">
        <v>7130600166</v>
      </c>
      <c r="B135" s="1011" t="s">
        <v>912</v>
      </c>
      <c r="C135" s="1008" t="s">
        <v>521</v>
      </c>
      <c r="D135" s="1012">
        <v>40214</v>
      </c>
      <c r="E135" s="416" t="s">
        <v>1049</v>
      </c>
    </row>
    <row r="136" spans="1:5" ht="12.75">
      <c r="A136" s="1015">
        <v>7130600173</v>
      </c>
      <c r="B136" s="1011" t="s">
        <v>914</v>
      </c>
      <c r="C136" s="1008" t="s">
        <v>521</v>
      </c>
      <c r="D136" s="1012">
        <v>40214</v>
      </c>
      <c r="E136" s="416" t="s">
        <v>1050</v>
      </c>
    </row>
    <row r="137" spans="1:5" ht="21" customHeight="1">
      <c r="A137" s="1008">
        <v>7130600230</v>
      </c>
      <c r="B137" s="1011" t="s">
        <v>911</v>
      </c>
      <c r="C137" s="1008" t="s">
        <v>521</v>
      </c>
      <c r="D137" s="1012">
        <v>40214</v>
      </c>
      <c r="E137" s="416" t="s">
        <v>37</v>
      </c>
    </row>
    <row r="138" spans="1:5" ht="22.5" customHeight="1">
      <c r="A138" s="1008">
        <v>7130600495</v>
      </c>
      <c r="B138" s="1011" t="s">
        <v>913</v>
      </c>
      <c r="C138" s="1008" t="s">
        <v>521</v>
      </c>
      <c r="D138" s="1012">
        <v>40214</v>
      </c>
      <c r="E138" s="416" t="s">
        <v>38</v>
      </c>
    </row>
    <row r="139" spans="1:5" ht="15" customHeight="1">
      <c r="A139" s="1010">
        <v>7130600635</v>
      </c>
      <c r="B139" s="1003" t="s">
        <v>526</v>
      </c>
      <c r="C139" s="1004" t="s">
        <v>521</v>
      </c>
      <c r="D139" s="1006">
        <v>44989</v>
      </c>
      <c r="E139" s="416" t="s">
        <v>39</v>
      </c>
    </row>
    <row r="140" spans="1:5" ht="12.75" customHeight="1">
      <c r="A140" s="1010">
        <v>7130600675</v>
      </c>
      <c r="B140" s="1003" t="s">
        <v>525</v>
      </c>
      <c r="C140" s="1004" t="s">
        <v>521</v>
      </c>
      <c r="D140" s="1006">
        <v>44989</v>
      </c>
      <c r="E140" s="416" t="s">
        <v>40</v>
      </c>
    </row>
    <row r="141" spans="1:5" ht="12.75">
      <c r="A141" s="1010">
        <v>7130601070</v>
      </c>
      <c r="B141" s="1014" t="s">
        <v>520</v>
      </c>
      <c r="C141" s="1004" t="s">
        <v>521</v>
      </c>
      <c r="D141" s="1006">
        <v>47741</v>
      </c>
      <c r="E141" s="416" t="s">
        <v>41</v>
      </c>
    </row>
    <row r="142" spans="1:5" ht="12.75">
      <c r="A142" s="1010">
        <v>7130601072</v>
      </c>
      <c r="B142" s="1014" t="s">
        <v>522</v>
      </c>
      <c r="C142" s="1004" t="s">
        <v>521</v>
      </c>
      <c r="D142" s="1006">
        <v>47741</v>
      </c>
      <c r="E142" s="416" t="s">
        <v>42</v>
      </c>
    </row>
    <row r="143" spans="1:5" ht="12.75">
      <c r="A143" s="1010">
        <v>7130601958</v>
      </c>
      <c r="B143" s="1003" t="s">
        <v>523</v>
      </c>
      <c r="C143" s="1004" t="s">
        <v>521</v>
      </c>
      <c r="D143" s="1006">
        <v>44989</v>
      </c>
      <c r="E143" s="416" t="s">
        <v>43</v>
      </c>
    </row>
    <row r="144" spans="1:5" ht="12.75">
      <c r="A144" s="1010">
        <v>7130601965</v>
      </c>
      <c r="B144" s="1003" t="s">
        <v>524</v>
      </c>
      <c r="C144" s="1004" t="s">
        <v>521</v>
      </c>
      <c r="D144" s="1006">
        <v>44989</v>
      </c>
      <c r="E144" s="416" t="s">
        <v>44</v>
      </c>
    </row>
    <row r="145" spans="1:5" ht="12.75">
      <c r="A145" s="1013">
        <v>7130610206</v>
      </c>
      <c r="B145" s="1011" t="s">
        <v>519</v>
      </c>
      <c r="C145" s="1008" t="s">
        <v>521</v>
      </c>
      <c r="D145" s="1012">
        <v>66528</v>
      </c>
      <c r="E145" s="416" t="s">
        <v>45</v>
      </c>
    </row>
    <row r="146" spans="1:5" ht="15.75" customHeight="1">
      <c r="A146" s="1013">
        <v>7130620013</v>
      </c>
      <c r="B146" s="1011" t="s">
        <v>340</v>
      </c>
      <c r="C146" s="1008" t="s">
        <v>452</v>
      </c>
      <c r="D146" s="1012">
        <v>118</v>
      </c>
      <c r="E146" s="416" t="s">
        <v>46</v>
      </c>
    </row>
    <row r="147" spans="1:5" ht="15.75" customHeight="1">
      <c r="A147" s="1015">
        <v>7130620049</v>
      </c>
      <c r="B147" s="1011" t="s">
        <v>1189</v>
      </c>
      <c r="C147" s="1008" t="s">
        <v>458</v>
      </c>
      <c r="D147" s="1012">
        <v>64</v>
      </c>
      <c r="E147" s="416"/>
    </row>
    <row r="148" spans="1:5" ht="12.75">
      <c r="A148" s="1008">
        <v>7130620133</v>
      </c>
      <c r="B148" s="1011" t="s">
        <v>438</v>
      </c>
      <c r="C148" s="1008" t="s">
        <v>458</v>
      </c>
      <c r="D148" s="1012">
        <v>89</v>
      </c>
      <c r="E148" s="416" t="s">
        <v>47</v>
      </c>
    </row>
    <row r="149" spans="1:5" ht="15.75" customHeight="1">
      <c r="A149" s="1008">
        <v>7130620140</v>
      </c>
      <c r="B149" s="1011" t="s">
        <v>1336</v>
      </c>
      <c r="C149" s="1008" t="s">
        <v>458</v>
      </c>
      <c r="D149" s="1012">
        <v>89</v>
      </c>
      <c r="E149" s="416" t="s">
        <v>48</v>
      </c>
    </row>
    <row r="150" spans="1:5" ht="21" customHeight="1">
      <c r="A150" s="1008">
        <v>7130620573</v>
      </c>
      <c r="B150" s="1011" t="s">
        <v>49</v>
      </c>
      <c r="C150" s="1008" t="s">
        <v>458</v>
      </c>
      <c r="D150" s="1012">
        <v>64</v>
      </c>
      <c r="E150" s="416" t="s">
        <v>964</v>
      </c>
    </row>
    <row r="151" spans="1:5" ht="17.25" customHeight="1">
      <c r="A151" s="1013">
        <v>7130620575</v>
      </c>
      <c r="B151" s="1011" t="s">
        <v>1190</v>
      </c>
      <c r="C151" s="1008" t="s">
        <v>458</v>
      </c>
      <c r="D151" s="1012">
        <v>65</v>
      </c>
      <c r="E151" s="416" t="s">
        <v>965</v>
      </c>
    </row>
    <row r="152" spans="1:5" ht="17.25" customHeight="1">
      <c r="A152" s="1013">
        <v>7130620577</v>
      </c>
      <c r="B152" s="1011" t="s">
        <v>1191</v>
      </c>
      <c r="C152" s="1008" t="s">
        <v>458</v>
      </c>
      <c r="D152" s="1012">
        <v>65</v>
      </c>
      <c r="E152" s="416" t="s">
        <v>966</v>
      </c>
    </row>
    <row r="153" spans="1:5" ht="16.5" customHeight="1">
      <c r="A153" s="1013">
        <v>7130620609</v>
      </c>
      <c r="B153" s="1011" t="s">
        <v>438</v>
      </c>
      <c r="C153" s="1008" t="s">
        <v>458</v>
      </c>
      <c r="D153" s="1012">
        <v>64</v>
      </c>
      <c r="E153" s="416" t="s">
        <v>967</v>
      </c>
    </row>
    <row r="154" spans="1:5" ht="17.25" customHeight="1">
      <c r="A154" s="1013">
        <v>7130620614</v>
      </c>
      <c r="B154" s="1011" t="s">
        <v>1336</v>
      </c>
      <c r="C154" s="1008" t="s">
        <v>458</v>
      </c>
      <c r="D154" s="1012">
        <v>63</v>
      </c>
      <c r="E154" s="416" t="s">
        <v>968</v>
      </c>
    </row>
    <row r="155" spans="1:5" ht="17.25" customHeight="1">
      <c r="A155" s="1013">
        <v>7130620619</v>
      </c>
      <c r="B155" s="1011" t="s">
        <v>1337</v>
      </c>
      <c r="C155" s="1008" t="s">
        <v>458</v>
      </c>
      <c r="D155" s="1012">
        <v>63</v>
      </c>
      <c r="E155" s="416" t="s">
        <v>969</v>
      </c>
    </row>
    <row r="156" spans="1:5" ht="17.25" customHeight="1">
      <c r="A156" s="1013">
        <v>7130620621</v>
      </c>
      <c r="B156" s="1011" t="s">
        <v>1192</v>
      </c>
      <c r="C156" s="1008" t="s">
        <v>458</v>
      </c>
      <c r="D156" s="1012">
        <v>62</v>
      </c>
      <c r="E156" s="416" t="s">
        <v>970</v>
      </c>
    </row>
    <row r="157" spans="1:5" ht="17.25" customHeight="1">
      <c r="A157" s="1013">
        <v>7130620625</v>
      </c>
      <c r="B157" s="1011" t="s">
        <v>1338</v>
      </c>
      <c r="C157" s="1008" t="s">
        <v>458</v>
      </c>
      <c r="D157" s="1012">
        <v>62</v>
      </c>
      <c r="E157" s="416" t="s">
        <v>971</v>
      </c>
    </row>
    <row r="158" spans="1:5" ht="17.25" customHeight="1">
      <c r="A158" s="1013">
        <v>7130620627</v>
      </c>
      <c r="B158" s="1011" t="s">
        <v>1339</v>
      </c>
      <c r="C158" s="1008" t="s">
        <v>458</v>
      </c>
      <c r="D158" s="1012">
        <v>62</v>
      </c>
      <c r="E158" s="416" t="s">
        <v>972</v>
      </c>
    </row>
    <row r="159" spans="1:5" ht="17.25" customHeight="1">
      <c r="A159" s="1013">
        <v>7130620631</v>
      </c>
      <c r="B159" s="1011" t="s">
        <v>1345</v>
      </c>
      <c r="C159" s="1008" t="s">
        <v>458</v>
      </c>
      <c r="D159" s="1012">
        <v>62</v>
      </c>
      <c r="E159" s="416" t="s">
        <v>973</v>
      </c>
    </row>
    <row r="160" spans="1:5" ht="17.25" customHeight="1">
      <c r="A160" s="1013">
        <v>7130620636</v>
      </c>
      <c r="B160" s="1011" t="s">
        <v>1194</v>
      </c>
      <c r="C160" s="1008" t="s">
        <v>458</v>
      </c>
      <c r="D160" s="1012">
        <v>62</v>
      </c>
      <c r="E160" s="416" t="s">
        <v>974</v>
      </c>
    </row>
    <row r="161" spans="1:5" ht="17.25" customHeight="1">
      <c r="A161" s="1013">
        <v>7130620637</v>
      </c>
      <c r="B161" s="1011" t="s">
        <v>1193</v>
      </c>
      <c r="C161" s="1008" t="s">
        <v>458</v>
      </c>
      <c r="D161" s="1012">
        <v>62</v>
      </c>
      <c r="E161" s="416" t="s">
        <v>975</v>
      </c>
    </row>
    <row r="162" spans="1:5" ht="17.25" customHeight="1">
      <c r="A162" s="1013">
        <v>7130620713</v>
      </c>
      <c r="B162" s="1011" t="s">
        <v>1195</v>
      </c>
      <c r="C162" s="1008" t="s">
        <v>458</v>
      </c>
      <c r="D162" s="1012">
        <v>62</v>
      </c>
      <c r="E162" s="416" t="s">
        <v>976</v>
      </c>
    </row>
    <row r="163" spans="1:5" ht="18.75" customHeight="1">
      <c r="A163" s="1013">
        <v>7130620716</v>
      </c>
      <c r="B163" s="1011" t="s">
        <v>1196</v>
      </c>
      <c r="C163" s="1008" t="s">
        <v>458</v>
      </c>
      <c r="D163" s="1012">
        <v>62</v>
      </c>
      <c r="E163" s="416" t="s">
        <v>977</v>
      </c>
    </row>
    <row r="164" spans="1:8" ht="18.75" customHeight="1">
      <c r="A164" s="1013">
        <v>7130620719</v>
      </c>
      <c r="B164" s="1011" t="s">
        <v>1197</v>
      </c>
      <c r="C164" s="1008" t="s">
        <v>458</v>
      </c>
      <c r="D164" s="1012">
        <v>62</v>
      </c>
      <c r="E164" s="416" t="s">
        <v>978</v>
      </c>
      <c r="G164" s="65"/>
      <c r="H164" s="65"/>
    </row>
    <row r="165" spans="1:8" ht="18.75" customHeight="1">
      <c r="A165" s="1013">
        <v>7130620829</v>
      </c>
      <c r="B165" s="1011" t="s">
        <v>1198</v>
      </c>
      <c r="C165" s="1008" t="s">
        <v>458</v>
      </c>
      <c r="D165" s="1012">
        <v>62</v>
      </c>
      <c r="E165" s="416" t="s">
        <v>979</v>
      </c>
      <c r="G165" s="65"/>
      <c r="H165" s="65"/>
    </row>
    <row r="166" spans="1:8" ht="18.75" customHeight="1">
      <c r="A166" s="1013">
        <v>7130621892</v>
      </c>
      <c r="B166" s="1011" t="s">
        <v>341</v>
      </c>
      <c r="C166" s="1008" t="s">
        <v>452</v>
      </c>
      <c r="D166" s="1012">
        <v>395</v>
      </c>
      <c r="E166" s="416" t="s">
        <v>980</v>
      </c>
      <c r="G166" s="65"/>
      <c r="H166" s="65"/>
    </row>
    <row r="167" spans="1:5" ht="25.5" customHeight="1">
      <c r="A167" s="1000">
        <v>7130622922</v>
      </c>
      <c r="B167" s="1016" t="s">
        <v>1199</v>
      </c>
      <c r="C167" s="1008" t="s">
        <v>458</v>
      </c>
      <c r="D167" s="1012">
        <v>127</v>
      </c>
      <c r="E167" s="416" t="s">
        <v>981</v>
      </c>
    </row>
    <row r="168" spans="1:5" ht="25.5">
      <c r="A168" s="1017">
        <v>7130640027</v>
      </c>
      <c r="B168" s="1028" t="s">
        <v>1321</v>
      </c>
      <c r="C168" s="1036" t="s">
        <v>1060</v>
      </c>
      <c r="D168" s="1012">
        <v>929</v>
      </c>
      <c r="E168" s="416" t="s">
        <v>982</v>
      </c>
    </row>
    <row r="169" spans="1:5" ht="20.25" customHeight="1">
      <c r="A169" s="1017">
        <v>7130640028</v>
      </c>
      <c r="B169" s="1028" t="s">
        <v>795</v>
      </c>
      <c r="C169" s="1036" t="s">
        <v>1230</v>
      </c>
      <c r="D169" s="1012">
        <v>805</v>
      </c>
      <c r="E169" s="416" t="s">
        <v>983</v>
      </c>
    </row>
    <row r="170" spans="1:5" ht="25.5">
      <c r="A170" s="1015">
        <v>7130640029</v>
      </c>
      <c r="B170" s="1028" t="s">
        <v>1322</v>
      </c>
      <c r="C170" s="1036" t="s">
        <v>454</v>
      </c>
      <c r="D170" s="1012">
        <v>3220</v>
      </c>
      <c r="E170" s="416" t="s">
        <v>984</v>
      </c>
    </row>
    <row r="171" spans="1:5" ht="12.75">
      <c r="A171" s="1017">
        <v>7130640030</v>
      </c>
      <c r="B171" s="1001" t="s">
        <v>443</v>
      </c>
      <c r="C171" s="1000" t="s">
        <v>1553</v>
      </c>
      <c r="D171" s="1020">
        <v>3857</v>
      </c>
      <c r="E171" s="416"/>
    </row>
    <row r="172" spans="1:5" ht="12.75">
      <c r="A172" s="1017">
        <v>7130640036</v>
      </c>
      <c r="B172" s="1001" t="s">
        <v>444</v>
      </c>
      <c r="C172" s="1000" t="s">
        <v>1553</v>
      </c>
      <c r="D172" s="1020">
        <v>7661</v>
      </c>
      <c r="E172" s="416" t="s">
        <v>985</v>
      </c>
    </row>
    <row r="173" spans="1:5" ht="25.5">
      <c r="A173" s="1017">
        <v>7130640037</v>
      </c>
      <c r="B173" s="1016" t="s">
        <v>1323</v>
      </c>
      <c r="C173" s="1008" t="s">
        <v>624</v>
      </c>
      <c r="D173" s="1020">
        <v>918</v>
      </c>
      <c r="E173" s="416" t="s">
        <v>986</v>
      </c>
    </row>
    <row r="174" spans="1:5" ht="18.75" customHeight="1">
      <c r="A174" s="1000">
        <v>7130641396</v>
      </c>
      <c r="B174" s="1016" t="s">
        <v>1200</v>
      </c>
      <c r="C174" s="1000" t="s">
        <v>1201</v>
      </c>
      <c r="D174" s="1020">
        <v>190</v>
      </c>
      <c r="E174" s="416" t="s">
        <v>987</v>
      </c>
    </row>
    <row r="175" spans="1:5" ht="51">
      <c r="A175" s="1031">
        <v>7130642039</v>
      </c>
      <c r="B175" s="1011" t="s">
        <v>1032</v>
      </c>
      <c r="C175" s="1008" t="s">
        <v>452</v>
      </c>
      <c r="D175" s="1012">
        <v>820</v>
      </c>
      <c r="E175" s="416" t="s">
        <v>988</v>
      </c>
    </row>
    <row r="176" spans="1:5" ht="25.5">
      <c r="A176" s="1031">
        <v>7130642041</v>
      </c>
      <c r="B176" s="1011" t="s">
        <v>926</v>
      </c>
      <c r="C176" s="1008" t="s">
        <v>452</v>
      </c>
      <c r="D176" s="1012">
        <v>4169</v>
      </c>
      <c r="E176" s="416" t="s">
        <v>989</v>
      </c>
    </row>
    <row r="177" spans="1:5" ht="80.25" customHeight="1">
      <c r="A177" s="1017">
        <v>7130650001</v>
      </c>
      <c r="B177" s="1016" t="s">
        <v>377</v>
      </c>
      <c r="C177" s="1000" t="s">
        <v>378</v>
      </c>
      <c r="D177" s="1020">
        <v>1131</v>
      </c>
      <c r="E177" s="222"/>
    </row>
    <row r="178" spans="1:5" ht="27" customHeight="1">
      <c r="A178" s="1017">
        <v>7130670027</v>
      </c>
      <c r="B178" s="1019" t="s">
        <v>93</v>
      </c>
      <c r="C178" s="1000" t="s">
        <v>1230</v>
      </c>
      <c r="D178" s="1020">
        <v>119</v>
      </c>
      <c r="E178" s="222"/>
    </row>
    <row r="179" spans="1:5" ht="41.25" customHeight="1">
      <c r="A179" s="1017">
        <v>7130797532</v>
      </c>
      <c r="B179" s="1016" t="s">
        <v>917</v>
      </c>
      <c r="C179" s="1000" t="s">
        <v>1230</v>
      </c>
      <c r="D179" s="1020">
        <v>599</v>
      </c>
      <c r="E179" s="416" t="s">
        <v>990</v>
      </c>
    </row>
    <row r="180" spans="1:5" ht="41.25" customHeight="1">
      <c r="A180" s="1017">
        <v>7130797533</v>
      </c>
      <c r="B180" s="1016" t="s">
        <v>713</v>
      </c>
      <c r="C180" s="1000" t="s">
        <v>1230</v>
      </c>
      <c r="D180" s="1020">
        <v>435</v>
      </c>
      <c r="E180" s="416" t="s">
        <v>991</v>
      </c>
    </row>
    <row r="181" spans="1:6" ht="27" customHeight="1" hidden="1">
      <c r="A181" s="1122">
        <v>7130797533</v>
      </c>
      <c r="B181" s="1121" t="s">
        <v>1350</v>
      </c>
      <c r="C181" s="1122" t="s">
        <v>1553</v>
      </c>
      <c r="D181" s="1123" t="s">
        <v>918</v>
      </c>
      <c r="E181" s="1124" t="s">
        <v>991</v>
      </c>
      <c r="F181" s="1136"/>
    </row>
    <row r="182" spans="1:5" ht="15" customHeight="1">
      <c r="A182" s="1013">
        <v>7130800012</v>
      </c>
      <c r="B182" s="1011" t="s">
        <v>527</v>
      </c>
      <c r="C182" s="1008" t="s">
        <v>1553</v>
      </c>
      <c r="D182" s="1012">
        <v>1654</v>
      </c>
      <c r="E182" s="416" t="s">
        <v>992</v>
      </c>
    </row>
    <row r="183" spans="1:5" ht="15" customHeight="1">
      <c r="A183" s="1017">
        <v>7130800014</v>
      </c>
      <c r="B183" s="1016" t="s">
        <v>1615</v>
      </c>
      <c r="C183" s="1000" t="s">
        <v>1553</v>
      </c>
      <c r="D183" s="1020">
        <v>6408</v>
      </c>
      <c r="E183" s="416"/>
    </row>
    <row r="184" spans="1:5" ht="15" customHeight="1">
      <c r="A184" s="1013">
        <v>7130800033</v>
      </c>
      <c r="B184" s="1011" t="s">
        <v>909</v>
      </c>
      <c r="C184" s="1008" t="s">
        <v>1553</v>
      </c>
      <c r="D184" s="1012">
        <v>3129</v>
      </c>
      <c r="E184" s="416" t="s">
        <v>993</v>
      </c>
    </row>
    <row r="185" spans="1:5" ht="15.75" customHeight="1">
      <c r="A185" s="1000">
        <v>7130800068</v>
      </c>
      <c r="B185" s="1016" t="s">
        <v>1614</v>
      </c>
      <c r="C185" s="1000" t="s">
        <v>1553</v>
      </c>
      <c r="D185" s="1020">
        <v>10737</v>
      </c>
      <c r="E185" s="416" t="s">
        <v>994</v>
      </c>
    </row>
    <row r="186" spans="1:5" ht="17.25" customHeight="1">
      <c r="A186" s="1013">
        <v>7130800672</v>
      </c>
      <c r="B186" s="1011" t="s">
        <v>910</v>
      </c>
      <c r="C186" s="1008" t="s">
        <v>1553</v>
      </c>
      <c r="D186" s="1012">
        <v>2851</v>
      </c>
      <c r="E186" s="416" t="s">
        <v>995</v>
      </c>
    </row>
    <row r="187" spans="1:5" ht="18" customHeight="1">
      <c r="A187" s="1013">
        <v>7130810005</v>
      </c>
      <c r="B187" s="1011" t="s">
        <v>342</v>
      </c>
      <c r="C187" s="1008" t="s">
        <v>452</v>
      </c>
      <c r="D187" s="1012">
        <v>83</v>
      </c>
      <c r="E187" s="416" t="s">
        <v>996</v>
      </c>
    </row>
    <row r="188" spans="1:5" ht="15.75" customHeight="1">
      <c r="A188" s="1013">
        <v>7130810006</v>
      </c>
      <c r="B188" s="1011" t="s">
        <v>997</v>
      </c>
      <c r="C188" s="1008" t="s">
        <v>802</v>
      </c>
      <c r="D188" s="1012">
        <v>6808</v>
      </c>
      <c r="E188" s="416" t="s">
        <v>997</v>
      </c>
    </row>
    <row r="189" spans="1:5" ht="16.5" customHeight="1">
      <c r="A189" s="1013">
        <v>7130810026</v>
      </c>
      <c r="B189" s="1011" t="s">
        <v>343</v>
      </c>
      <c r="C189" s="1008" t="s">
        <v>798</v>
      </c>
      <c r="D189" s="1012">
        <v>142</v>
      </c>
      <c r="E189" s="416" t="s">
        <v>998</v>
      </c>
    </row>
    <row r="190" spans="1:5" ht="15.75" customHeight="1">
      <c r="A190" s="1013">
        <v>7130810026</v>
      </c>
      <c r="B190" s="1011" t="s">
        <v>344</v>
      </c>
      <c r="C190" s="1008" t="s">
        <v>798</v>
      </c>
      <c r="D190" s="1012">
        <v>265</v>
      </c>
      <c r="E190" s="416" t="s">
        <v>998</v>
      </c>
    </row>
    <row r="191" spans="1:5" ht="15" customHeight="1">
      <c r="A191" s="1013">
        <v>7130810060</v>
      </c>
      <c r="B191" s="1011" t="s">
        <v>999</v>
      </c>
      <c r="C191" s="1008" t="s">
        <v>803</v>
      </c>
      <c r="D191" s="1012">
        <v>71</v>
      </c>
      <c r="E191" s="416" t="s">
        <v>999</v>
      </c>
    </row>
    <row r="192" spans="1:5" ht="14.25" customHeight="1">
      <c r="A192" s="1017">
        <v>7130810076</v>
      </c>
      <c r="B192" s="1011" t="s">
        <v>380</v>
      </c>
      <c r="C192" s="1008" t="s">
        <v>803</v>
      </c>
      <c r="D192" s="1012">
        <v>68</v>
      </c>
      <c r="E192" s="416" t="s">
        <v>345</v>
      </c>
    </row>
    <row r="193" spans="1:5" ht="15.75" customHeight="1">
      <c r="A193" s="1017">
        <v>7130810077</v>
      </c>
      <c r="B193" s="1028" t="s">
        <v>359</v>
      </c>
      <c r="C193" s="1029" t="s">
        <v>803</v>
      </c>
      <c r="D193" s="1012">
        <v>394</v>
      </c>
      <c r="E193" s="416" t="s">
        <v>1000</v>
      </c>
    </row>
    <row r="194" spans="1:5" ht="16.5" customHeight="1">
      <c r="A194" s="1000">
        <v>7130810102</v>
      </c>
      <c r="B194" s="1016" t="s">
        <v>1399</v>
      </c>
      <c r="C194" s="1029" t="s">
        <v>803</v>
      </c>
      <c r="D194" s="1012">
        <v>349</v>
      </c>
      <c r="E194" s="416" t="s">
        <v>1001</v>
      </c>
    </row>
    <row r="195" spans="1:5" ht="14.25" customHeight="1">
      <c r="A195" s="1000">
        <v>7130810193</v>
      </c>
      <c r="B195" s="1016" t="s">
        <v>1258</v>
      </c>
      <c r="C195" s="1029" t="s">
        <v>798</v>
      </c>
      <c r="D195" s="1012">
        <v>265</v>
      </c>
      <c r="E195" s="416" t="s">
        <v>1002</v>
      </c>
    </row>
    <row r="196" spans="1:5" ht="15" customHeight="1">
      <c r="A196" s="1000">
        <v>7130810201</v>
      </c>
      <c r="B196" s="1016" t="s">
        <v>1259</v>
      </c>
      <c r="C196" s="1029" t="s">
        <v>798</v>
      </c>
      <c r="D196" s="1012">
        <v>282</v>
      </c>
      <c r="E196" s="416" t="s">
        <v>1003</v>
      </c>
    </row>
    <row r="197" spans="1:5" ht="18" customHeight="1">
      <c r="A197" s="1000">
        <v>7130810216</v>
      </c>
      <c r="B197" s="1016" t="s">
        <v>1260</v>
      </c>
      <c r="C197" s="1029" t="s">
        <v>798</v>
      </c>
      <c r="D197" s="1012">
        <v>282</v>
      </c>
      <c r="E197" s="416" t="s">
        <v>1004</v>
      </c>
    </row>
    <row r="198" spans="1:5" ht="17.25" customHeight="1">
      <c r="A198" s="1000">
        <v>7130810251</v>
      </c>
      <c r="B198" s="1016" t="s">
        <v>1261</v>
      </c>
      <c r="C198" s="1029" t="s">
        <v>798</v>
      </c>
      <c r="D198" s="1012">
        <v>282</v>
      </c>
      <c r="E198" s="416" t="s">
        <v>1005</v>
      </c>
    </row>
    <row r="199" spans="1:5" ht="17.25" customHeight="1">
      <c r="A199" s="1000">
        <v>7130810361</v>
      </c>
      <c r="B199" s="1016" t="s">
        <v>1262</v>
      </c>
      <c r="C199" s="1029" t="s">
        <v>798</v>
      </c>
      <c r="D199" s="1012">
        <v>282</v>
      </c>
      <c r="E199" s="416" t="s">
        <v>1006</v>
      </c>
    </row>
    <row r="200" spans="1:5" ht="17.25" customHeight="1">
      <c r="A200" s="1000">
        <v>7130810413</v>
      </c>
      <c r="B200" s="1016" t="s">
        <v>1263</v>
      </c>
      <c r="C200" s="1029" t="s">
        <v>803</v>
      </c>
      <c r="D200" s="1012">
        <v>618</v>
      </c>
      <c r="E200" s="416" t="s">
        <v>1007</v>
      </c>
    </row>
    <row r="201" spans="1:5" ht="17.25" customHeight="1">
      <c r="A201" s="1000">
        <v>7130810441</v>
      </c>
      <c r="B201" s="1016" t="s">
        <v>1264</v>
      </c>
      <c r="C201" s="1029" t="s">
        <v>803</v>
      </c>
      <c r="D201" s="1012">
        <v>736</v>
      </c>
      <c r="E201" s="416" t="s">
        <v>1008</v>
      </c>
    </row>
    <row r="202" spans="1:5" ht="17.25" customHeight="1">
      <c r="A202" s="1000">
        <v>7130810461</v>
      </c>
      <c r="B202" s="1016" t="s">
        <v>1265</v>
      </c>
      <c r="C202" s="1029" t="s">
        <v>803</v>
      </c>
      <c r="D202" s="1012">
        <v>854</v>
      </c>
      <c r="E202" s="416" t="s">
        <v>1009</v>
      </c>
    </row>
    <row r="203" spans="1:5" ht="17.25" customHeight="1">
      <c r="A203" s="1000">
        <v>7130810495</v>
      </c>
      <c r="B203" s="1016" t="s">
        <v>1266</v>
      </c>
      <c r="C203" s="1029" t="s">
        <v>803</v>
      </c>
      <c r="D203" s="1012">
        <v>1048</v>
      </c>
      <c r="E203" s="416" t="s">
        <v>1010</v>
      </c>
    </row>
    <row r="204" spans="1:5" ht="17.25" customHeight="1">
      <c r="A204" s="1000">
        <v>7130810509</v>
      </c>
      <c r="B204" s="1016" t="s">
        <v>1267</v>
      </c>
      <c r="C204" s="1029" t="s">
        <v>803</v>
      </c>
      <c r="D204" s="1012">
        <v>7845</v>
      </c>
      <c r="E204" s="416" t="s">
        <v>1011</v>
      </c>
    </row>
    <row r="205" spans="1:5" ht="17.25" customHeight="1">
      <c r="A205" s="1000">
        <v>7130810509</v>
      </c>
      <c r="B205" s="1016" t="s">
        <v>1269</v>
      </c>
      <c r="C205" s="1029" t="s">
        <v>803</v>
      </c>
      <c r="D205" s="1012">
        <v>3322</v>
      </c>
      <c r="E205" s="416" t="s">
        <v>1011</v>
      </c>
    </row>
    <row r="206" spans="1:5" ht="17.25" customHeight="1">
      <c r="A206" s="1000">
        <v>7130810511</v>
      </c>
      <c r="B206" s="1016" t="s">
        <v>1268</v>
      </c>
      <c r="C206" s="1029" t="s">
        <v>802</v>
      </c>
      <c r="D206" s="1012">
        <v>2485</v>
      </c>
      <c r="E206" s="416" t="s">
        <v>1012</v>
      </c>
    </row>
    <row r="207" spans="1:5" ht="26.25" customHeight="1">
      <c r="A207" s="1000">
        <v>7130810512</v>
      </c>
      <c r="B207" s="1016" t="s">
        <v>1270</v>
      </c>
      <c r="C207" s="1029" t="s">
        <v>802</v>
      </c>
      <c r="D207" s="1012">
        <v>3940</v>
      </c>
      <c r="E207" s="416" t="s">
        <v>1013</v>
      </c>
    </row>
    <row r="208" spans="1:5" ht="25.5">
      <c r="A208" s="1000">
        <v>7130810512</v>
      </c>
      <c r="B208" s="1016" t="s">
        <v>1271</v>
      </c>
      <c r="C208" s="1029" t="s">
        <v>802</v>
      </c>
      <c r="D208" s="1012">
        <v>2862</v>
      </c>
      <c r="E208" s="416" t="s">
        <v>1013</v>
      </c>
    </row>
    <row r="209" spans="1:5" ht="25.5">
      <c r="A209" s="1000">
        <v>7130810512</v>
      </c>
      <c r="B209" s="1016" t="s">
        <v>1272</v>
      </c>
      <c r="C209" s="1029" t="s">
        <v>802</v>
      </c>
      <c r="D209" s="1012">
        <v>4022</v>
      </c>
      <c r="E209" s="416" t="s">
        <v>1013</v>
      </c>
    </row>
    <row r="210" spans="1:5" ht="25.5">
      <c r="A210" s="1000">
        <v>7130810517</v>
      </c>
      <c r="B210" s="1016" t="s">
        <v>1273</v>
      </c>
      <c r="C210" s="1029" t="s">
        <v>802</v>
      </c>
      <c r="D210" s="1012">
        <v>4547</v>
      </c>
      <c r="E210" s="416" t="s">
        <v>15</v>
      </c>
    </row>
    <row r="211" spans="1:5" ht="17.25" customHeight="1">
      <c r="A211" s="1000">
        <v>7130810595</v>
      </c>
      <c r="B211" s="1016" t="s">
        <v>1274</v>
      </c>
      <c r="C211" s="1029" t="s">
        <v>803</v>
      </c>
      <c r="D211" s="1012">
        <v>2332</v>
      </c>
      <c r="E211" s="416" t="s">
        <v>16</v>
      </c>
    </row>
    <row r="212" spans="1:5" ht="26.25" customHeight="1">
      <c r="A212" s="1000">
        <v>7130810608</v>
      </c>
      <c r="B212" s="1016" t="s">
        <v>904</v>
      </c>
      <c r="C212" s="1029" t="s">
        <v>802</v>
      </c>
      <c r="D212" s="1012">
        <v>5377</v>
      </c>
      <c r="E212" s="416" t="s">
        <v>17</v>
      </c>
    </row>
    <row r="213" spans="1:5" ht="17.25" customHeight="1">
      <c r="A213" s="1000">
        <v>7130810624</v>
      </c>
      <c r="B213" s="1016" t="s">
        <v>1062</v>
      </c>
      <c r="C213" s="1029" t="s">
        <v>803</v>
      </c>
      <c r="D213" s="1012">
        <v>90</v>
      </c>
      <c r="E213" s="416" t="s">
        <v>18</v>
      </c>
    </row>
    <row r="214" spans="1:5" ht="12.75">
      <c r="A214" s="1000">
        <v>7130810624</v>
      </c>
      <c r="B214" s="1016" t="s">
        <v>441</v>
      </c>
      <c r="C214" s="1029" t="s">
        <v>802</v>
      </c>
      <c r="D214" s="1038">
        <v>94</v>
      </c>
      <c r="E214" s="416" t="s">
        <v>18</v>
      </c>
    </row>
    <row r="215" spans="1:5" ht="12.75" customHeight="1">
      <c r="A215" s="1000">
        <v>7130810676</v>
      </c>
      <c r="B215" s="1016" t="s">
        <v>55</v>
      </c>
      <c r="C215" s="1029" t="s">
        <v>803</v>
      </c>
      <c r="D215" s="1038">
        <v>388</v>
      </c>
      <c r="E215" s="416" t="s">
        <v>19</v>
      </c>
    </row>
    <row r="216" spans="1:5" ht="25.5">
      <c r="A216" s="1000">
        <v>7130810679</v>
      </c>
      <c r="B216" s="1016" t="s">
        <v>56</v>
      </c>
      <c r="C216" s="1029" t="s">
        <v>803</v>
      </c>
      <c r="D216" s="1038">
        <v>294</v>
      </c>
      <c r="E216" s="416" t="s">
        <v>20</v>
      </c>
    </row>
    <row r="217" spans="1:5" ht="25.5">
      <c r="A217" s="1000">
        <v>7130810681</v>
      </c>
      <c r="B217" s="1016" t="s">
        <v>1310</v>
      </c>
      <c r="C217" s="1029" t="s">
        <v>802</v>
      </c>
      <c r="D217" s="1038">
        <v>3227</v>
      </c>
      <c r="E217" s="416" t="s">
        <v>21</v>
      </c>
    </row>
    <row r="218" spans="1:5" ht="12.75">
      <c r="A218" s="1000">
        <v>7130810684</v>
      </c>
      <c r="B218" s="1016" t="s">
        <v>1108</v>
      </c>
      <c r="C218" s="1029" t="s">
        <v>803</v>
      </c>
      <c r="D218" s="1038">
        <v>8457</v>
      </c>
      <c r="E218" s="416" t="s">
        <v>885</v>
      </c>
    </row>
    <row r="219" spans="1:5" ht="12.75">
      <c r="A219" s="1000">
        <v>7130810692</v>
      </c>
      <c r="B219" s="1016" t="s">
        <v>57</v>
      </c>
      <c r="C219" s="1029" t="s">
        <v>798</v>
      </c>
      <c r="D219" s="1038">
        <v>294</v>
      </c>
      <c r="E219" s="416" t="s">
        <v>886</v>
      </c>
    </row>
    <row r="220" spans="1:5" ht="12.75">
      <c r="A220" s="1017">
        <v>7130820008</v>
      </c>
      <c r="B220" s="1016" t="s">
        <v>777</v>
      </c>
      <c r="C220" s="1012" t="s">
        <v>1553</v>
      </c>
      <c r="D220" s="1012">
        <v>157</v>
      </c>
      <c r="E220" s="416" t="s">
        <v>887</v>
      </c>
    </row>
    <row r="221" spans="1:5" ht="12.75">
      <c r="A221" s="1017">
        <v>7130820009</v>
      </c>
      <c r="B221" s="1016" t="s">
        <v>776</v>
      </c>
      <c r="C221" s="1012" t="s">
        <v>1553</v>
      </c>
      <c r="D221" s="1012">
        <v>388</v>
      </c>
      <c r="E221" s="416" t="s">
        <v>888</v>
      </c>
    </row>
    <row r="222" spans="1:5" ht="12.75">
      <c r="A222" s="1017">
        <v>7130820010</v>
      </c>
      <c r="B222" s="1016" t="s">
        <v>323</v>
      </c>
      <c r="C222" s="1012" t="s">
        <v>1553</v>
      </c>
      <c r="D222" s="1012">
        <v>140</v>
      </c>
      <c r="E222" s="416" t="s">
        <v>889</v>
      </c>
    </row>
    <row r="223" spans="1:5" ht="12.75">
      <c r="A223" s="1017">
        <v>7130820011</v>
      </c>
      <c r="B223" s="1016" t="s">
        <v>775</v>
      </c>
      <c r="C223" s="1012" t="s">
        <v>1553</v>
      </c>
      <c r="D223" s="1012">
        <v>354</v>
      </c>
      <c r="E223" s="416" t="s">
        <v>890</v>
      </c>
    </row>
    <row r="224" spans="1:5" ht="16.5" customHeight="1">
      <c r="A224" s="1013">
        <v>7130820018</v>
      </c>
      <c r="B224" s="1011" t="s">
        <v>676</v>
      </c>
      <c r="C224" s="1008" t="s">
        <v>798</v>
      </c>
      <c r="D224" s="1012">
        <v>3</v>
      </c>
      <c r="E224" s="416" t="s">
        <v>891</v>
      </c>
    </row>
    <row r="225" spans="1:5" ht="16.5" customHeight="1">
      <c r="A225" s="1015">
        <v>7130820026</v>
      </c>
      <c r="B225" s="1011" t="s">
        <v>671</v>
      </c>
      <c r="C225" s="1008" t="s">
        <v>1230</v>
      </c>
      <c r="D225" s="1012">
        <v>412</v>
      </c>
      <c r="E225" s="416" t="s">
        <v>892</v>
      </c>
    </row>
    <row r="226" spans="1:5" ht="16.5" customHeight="1">
      <c r="A226" s="1015">
        <v>7130820027</v>
      </c>
      <c r="B226" s="1011" t="s">
        <v>672</v>
      </c>
      <c r="C226" s="1008" t="s">
        <v>1230</v>
      </c>
      <c r="D226" s="1012">
        <v>1907</v>
      </c>
      <c r="E226" s="416" t="s">
        <v>893</v>
      </c>
    </row>
    <row r="227" spans="1:5" ht="16.5" customHeight="1">
      <c r="A227" s="1026">
        <v>7130820029</v>
      </c>
      <c r="B227" s="1019" t="s">
        <v>838</v>
      </c>
      <c r="C227" s="1000" t="s">
        <v>1553</v>
      </c>
      <c r="D227" s="1025">
        <v>31</v>
      </c>
      <c r="E227" s="416"/>
    </row>
    <row r="228" spans="1:5" ht="16.5" customHeight="1">
      <c r="A228" s="1013">
        <v>7130820030</v>
      </c>
      <c r="B228" s="1011" t="s">
        <v>668</v>
      </c>
      <c r="C228" s="1008" t="s">
        <v>1553</v>
      </c>
      <c r="D228" s="1012">
        <v>231</v>
      </c>
      <c r="E228" s="416" t="s">
        <v>894</v>
      </c>
    </row>
    <row r="229" spans="1:5" ht="17.25" customHeight="1">
      <c r="A229" s="1013">
        <v>7130820071</v>
      </c>
      <c r="B229" s="1011" t="s">
        <v>669</v>
      </c>
      <c r="C229" s="1008" t="s">
        <v>1553</v>
      </c>
      <c r="D229" s="1012">
        <v>40</v>
      </c>
      <c r="E229" s="416" t="s">
        <v>34</v>
      </c>
    </row>
    <row r="230" spans="1:5" ht="17.25" customHeight="1">
      <c r="A230" s="1013">
        <v>7130820075</v>
      </c>
      <c r="B230" s="1011" t="s">
        <v>670</v>
      </c>
      <c r="C230" s="1008" t="s">
        <v>1553</v>
      </c>
      <c r="D230" s="1012">
        <v>230</v>
      </c>
      <c r="E230" s="416" t="s">
        <v>35</v>
      </c>
    </row>
    <row r="231" spans="1:5" ht="18" customHeight="1">
      <c r="A231" s="1013">
        <v>7130820101</v>
      </c>
      <c r="B231" s="1011" t="s">
        <v>674</v>
      </c>
      <c r="C231" s="1008" t="s">
        <v>1553</v>
      </c>
      <c r="D231" s="1012">
        <v>9</v>
      </c>
      <c r="E231" s="416" t="s">
        <v>36</v>
      </c>
    </row>
    <row r="232" spans="1:5" ht="18" customHeight="1">
      <c r="A232" s="1013">
        <v>7130820106</v>
      </c>
      <c r="B232" s="1011" t="s">
        <v>673</v>
      </c>
      <c r="C232" s="1008" t="s">
        <v>1553</v>
      </c>
      <c r="D232" s="1012">
        <v>10</v>
      </c>
      <c r="E232" s="416" t="s">
        <v>1402</v>
      </c>
    </row>
    <row r="233" spans="1:5" ht="18" customHeight="1">
      <c r="A233" s="1013">
        <v>7130820117</v>
      </c>
      <c r="B233" s="1011" t="s">
        <v>675</v>
      </c>
      <c r="C233" s="1008" t="s">
        <v>1553</v>
      </c>
      <c r="D233" s="1012">
        <v>9</v>
      </c>
      <c r="E233" s="416" t="s">
        <v>1403</v>
      </c>
    </row>
    <row r="234" spans="1:5" ht="18" customHeight="1">
      <c r="A234" s="1013">
        <v>7130820155</v>
      </c>
      <c r="B234" s="1011" t="s">
        <v>872</v>
      </c>
      <c r="C234" s="1008" t="s">
        <v>1553</v>
      </c>
      <c r="D234" s="1012">
        <v>60</v>
      </c>
      <c r="E234" s="416" t="s">
        <v>1404</v>
      </c>
    </row>
    <row r="235" spans="1:5" ht="18" customHeight="1">
      <c r="A235" s="1013">
        <v>7130820158</v>
      </c>
      <c r="B235" s="1011" t="s">
        <v>873</v>
      </c>
      <c r="C235" s="1008" t="s">
        <v>1553</v>
      </c>
      <c r="D235" s="1012">
        <v>199</v>
      </c>
      <c r="E235" s="416" t="s">
        <v>1405</v>
      </c>
    </row>
    <row r="236" spans="1:5" ht="18" customHeight="1">
      <c r="A236" s="1013">
        <v>7130820201</v>
      </c>
      <c r="B236" s="1011" t="s">
        <v>1539</v>
      </c>
      <c r="C236" s="1008" t="s">
        <v>1553</v>
      </c>
      <c r="D236" s="1012">
        <v>32</v>
      </c>
      <c r="E236" s="416" t="s">
        <v>1406</v>
      </c>
    </row>
    <row r="237" spans="1:5" ht="18" customHeight="1">
      <c r="A237" s="1013">
        <v>7130820206</v>
      </c>
      <c r="B237" s="1003" t="s">
        <v>871</v>
      </c>
      <c r="C237" s="1008" t="s">
        <v>1553</v>
      </c>
      <c r="D237" s="1012">
        <v>30</v>
      </c>
      <c r="E237" s="416" t="s">
        <v>1407</v>
      </c>
    </row>
    <row r="238" spans="1:5" ht="18" customHeight="1">
      <c r="A238" s="1013">
        <v>7130820216</v>
      </c>
      <c r="B238" s="1003" t="s">
        <v>870</v>
      </c>
      <c r="C238" s="1008" t="s">
        <v>1553</v>
      </c>
      <c r="D238" s="1012">
        <v>34</v>
      </c>
      <c r="E238" s="416" t="s">
        <v>1408</v>
      </c>
    </row>
    <row r="239" spans="1:5" ht="18" customHeight="1">
      <c r="A239" s="1013">
        <v>7130820241</v>
      </c>
      <c r="B239" s="1011" t="s">
        <v>778</v>
      </c>
      <c r="C239" s="1008" t="s">
        <v>1553</v>
      </c>
      <c r="D239" s="1012">
        <v>123</v>
      </c>
      <c r="E239" s="416" t="s">
        <v>1409</v>
      </c>
    </row>
    <row r="240" spans="1:5" ht="18" customHeight="1">
      <c r="A240" s="1013">
        <v>7130820248</v>
      </c>
      <c r="B240" s="1011" t="s">
        <v>779</v>
      </c>
      <c r="C240" s="1008" t="s">
        <v>1553</v>
      </c>
      <c r="D240" s="1012">
        <v>255</v>
      </c>
      <c r="E240" s="416" t="s">
        <v>1410</v>
      </c>
    </row>
    <row r="241" spans="1:5" ht="28.5" customHeight="1">
      <c r="A241" s="1018">
        <v>7130820312</v>
      </c>
      <c r="B241" s="1011" t="s">
        <v>278</v>
      </c>
      <c r="C241" s="1008" t="s">
        <v>802</v>
      </c>
      <c r="D241" s="1012">
        <v>2183</v>
      </c>
      <c r="E241" s="416" t="s">
        <v>1411</v>
      </c>
    </row>
    <row r="242" spans="1:5" ht="19.5" customHeight="1">
      <c r="A242" s="1013">
        <v>7130830006</v>
      </c>
      <c r="B242" s="1011" t="s">
        <v>1538</v>
      </c>
      <c r="C242" s="1008" t="s">
        <v>458</v>
      </c>
      <c r="D242" s="1012">
        <v>139</v>
      </c>
      <c r="E242" s="416" t="s">
        <v>1412</v>
      </c>
    </row>
    <row r="243" spans="1:5" ht="29.25" customHeight="1">
      <c r="A243" s="1013">
        <v>7130830025</v>
      </c>
      <c r="B243" s="1011" t="s">
        <v>665</v>
      </c>
      <c r="C243" s="1008" t="s">
        <v>440</v>
      </c>
      <c r="D243" s="1012">
        <v>11084</v>
      </c>
      <c r="E243" s="416" t="s">
        <v>1413</v>
      </c>
    </row>
    <row r="244" spans="1:5" ht="28.5" customHeight="1">
      <c r="A244" s="1013">
        <v>7130830026</v>
      </c>
      <c r="B244" s="1011" t="s">
        <v>666</v>
      </c>
      <c r="C244" s="1008" t="s">
        <v>440</v>
      </c>
      <c r="D244" s="1012">
        <v>17295</v>
      </c>
      <c r="E244" s="416" t="s">
        <v>1414</v>
      </c>
    </row>
    <row r="245" spans="1:5" ht="30" customHeight="1">
      <c r="A245" s="1013">
        <v>7130830027</v>
      </c>
      <c r="B245" s="1011" t="s">
        <v>667</v>
      </c>
      <c r="C245" s="1008" t="s">
        <v>440</v>
      </c>
      <c r="D245" s="1012">
        <v>27240</v>
      </c>
      <c r="E245" s="416" t="s">
        <v>1415</v>
      </c>
    </row>
    <row r="246" spans="1:5" ht="25.5">
      <c r="A246" s="1013">
        <v>7130830028</v>
      </c>
      <c r="B246" s="1011" t="s">
        <v>662</v>
      </c>
      <c r="C246" s="1008" t="s">
        <v>440</v>
      </c>
      <c r="D246" s="1012">
        <v>33968</v>
      </c>
      <c r="E246" s="416" t="s">
        <v>1416</v>
      </c>
    </row>
    <row r="247" spans="1:5" ht="27.75" customHeight="1">
      <c r="A247" s="1015">
        <v>7130830050</v>
      </c>
      <c r="B247" s="1011" t="s">
        <v>544</v>
      </c>
      <c r="C247" s="1008" t="s">
        <v>1553</v>
      </c>
      <c r="D247" s="1012">
        <v>32</v>
      </c>
      <c r="E247" s="416" t="s">
        <v>1417</v>
      </c>
    </row>
    <row r="248" spans="1:5" ht="19.5" customHeight="1">
      <c r="A248" s="1015">
        <v>7130830051</v>
      </c>
      <c r="B248" s="1011" t="s">
        <v>545</v>
      </c>
      <c r="C248" s="1008" t="s">
        <v>1553</v>
      </c>
      <c r="D248" s="1012">
        <v>126</v>
      </c>
      <c r="E248" s="416" t="s">
        <v>1418</v>
      </c>
    </row>
    <row r="249" spans="1:5" ht="22.5" customHeight="1">
      <c r="A249" s="1021">
        <v>7130830052</v>
      </c>
      <c r="B249" s="1011" t="s">
        <v>546</v>
      </c>
      <c r="C249" s="1008" t="s">
        <v>1553</v>
      </c>
      <c r="D249" s="1020">
        <v>534</v>
      </c>
      <c r="E249" s="416"/>
    </row>
    <row r="250" spans="1:5" ht="25.5">
      <c r="A250" s="1008">
        <v>7130830053</v>
      </c>
      <c r="B250" s="1011" t="s">
        <v>659</v>
      </c>
      <c r="C250" s="1008" t="s">
        <v>440</v>
      </c>
      <c r="D250" s="1012">
        <v>13002</v>
      </c>
      <c r="E250" s="416" t="s">
        <v>1419</v>
      </c>
    </row>
    <row r="251" spans="1:5" ht="12.75">
      <c r="A251" s="1021">
        <v>7130830054</v>
      </c>
      <c r="B251" s="1011" t="s">
        <v>547</v>
      </c>
      <c r="C251" s="1008" t="s">
        <v>1553</v>
      </c>
      <c r="D251" s="1020">
        <v>312</v>
      </c>
      <c r="E251" s="416"/>
    </row>
    <row r="252" spans="1:5" ht="25.5">
      <c r="A252" s="1008">
        <v>7130830055</v>
      </c>
      <c r="B252" s="1011" t="s">
        <v>660</v>
      </c>
      <c r="C252" s="1008" t="s">
        <v>440</v>
      </c>
      <c r="D252" s="1012">
        <v>20281</v>
      </c>
      <c r="E252" s="416" t="s">
        <v>1420</v>
      </c>
    </row>
    <row r="253" spans="1:5" ht="12.75">
      <c r="A253" s="1021">
        <v>7130830056</v>
      </c>
      <c r="B253" s="1011" t="s">
        <v>548</v>
      </c>
      <c r="C253" s="1008" t="s">
        <v>1553</v>
      </c>
      <c r="D253" s="1020">
        <v>312</v>
      </c>
      <c r="E253" s="416"/>
    </row>
    <row r="254" spans="1:5" ht="25.5">
      <c r="A254" s="1013">
        <v>7130830057</v>
      </c>
      <c r="B254" s="1011" t="s">
        <v>661</v>
      </c>
      <c r="C254" s="1008" t="s">
        <v>440</v>
      </c>
      <c r="D254" s="1012">
        <v>33544</v>
      </c>
      <c r="E254" s="416" t="s">
        <v>1421</v>
      </c>
    </row>
    <row r="255" spans="1:5" ht="28.5" customHeight="1">
      <c r="A255" s="1021">
        <v>7130830058</v>
      </c>
      <c r="B255" s="1011" t="s">
        <v>206</v>
      </c>
      <c r="C255" s="1008" t="s">
        <v>1553</v>
      </c>
      <c r="D255" s="1020">
        <v>158</v>
      </c>
      <c r="E255" s="222"/>
    </row>
    <row r="256" spans="1:5" ht="25.5">
      <c r="A256" s="1013">
        <v>7130830060</v>
      </c>
      <c r="B256" s="1011" t="s">
        <v>662</v>
      </c>
      <c r="C256" s="1008" t="s">
        <v>440</v>
      </c>
      <c r="D256" s="1012">
        <v>50002</v>
      </c>
      <c r="E256" s="416" t="s">
        <v>1422</v>
      </c>
    </row>
    <row r="257" spans="1:5" ht="25.5">
      <c r="A257" s="1013">
        <v>7130830063</v>
      </c>
      <c r="B257" s="1011" t="s">
        <v>663</v>
      </c>
      <c r="C257" s="1008" t="s">
        <v>440</v>
      </c>
      <c r="D257" s="1012">
        <v>64842</v>
      </c>
      <c r="E257" s="416" t="s">
        <v>1423</v>
      </c>
    </row>
    <row r="258" spans="1:5" ht="25.5">
      <c r="A258" s="1008">
        <v>7130830070</v>
      </c>
      <c r="B258" s="1011" t="s">
        <v>664</v>
      </c>
      <c r="C258" s="1008" t="s">
        <v>440</v>
      </c>
      <c r="D258" s="1012">
        <v>167935</v>
      </c>
      <c r="E258" s="416" t="s">
        <v>1424</v>
      </c>
    </row>
    <row r="259" spans="1:5" ht="25.5">
      <c r="A259" s="1013">
        <v>7130830084</v>
      </c>
      <c r="B259" s="1011" t="s">
        <v>663</v>
      </c>
      <c r="C259" s="1008" t="s">
        <v>440</v>
      </c>
      <c r="D259" s="1012">
        <v>50246</v>
      </c>
      <c r="E259" s="416" t="s">
        <v>1425</v>
      </c>
    </row>
    <row r="260" spans="1:5" ht="12.75">
      <c r="A260" s="1013">
        <v>7130830585</v>
      </c>
      <c r="B260" s="1011" t="s">
        <v>208</v>
      </c>
      <c r="C260" s="1008" t="s">
        <v>1553</v>
      </c>
      <c r="D260" s="1012">
        <v>239</v>
      </c>
      <c r="E260" s="416" t="s">
        <v>1426</v>
      </c>
    </row>
    <row r="261" spans="1:5" ht="15" customHeight="1">
      <c r="A261" s="1013">
        <v>7130830586</v>
      </c>
      <c r="B261" s="1011" t="s">
        <v>209</v>
      </c>
      <c r="C261" s="1008" t="s">
        <v>1553</v>
      </c>
      <c r="D261" s="1012">
        <v>191</v>
      </c>
      <c r="E261" s="416" t="s">
        <v>1427</v>
      </c>
    </row>
    <row r="262" spans="1:5" ht="15" customHeight="1">
      <c r="A262" s="1015">
        <v>7130830586</v>
      </c>
      <c r="B262" s="1011" t="s">
        <v>210</v>
      </c>
      <c r="C262" s="1008" t="s">
        <v>1553</v>
      </c>
      <c r="D262" s="1012">
        <v>279</v>
      </c>
      <c r="E262" s="416" t="s">
        <v>1427</v>
      </c>
    </row>
    <row r="263" spans="1:5" ht="27" customHeight="1">
      <c r="A263" s="1013">
        <v>7130830603</v>
      </c>
      <c r="B263" s="1011" t="s">
        <v>207</v>
      </c>
      <c r="C263" s="1008" t="s">
        <v>1553</v>
      </c>
      <c r="D263" s="1020">
        <v>232</v>
      </c>
      <c r="E263" s="416" t="s">
        <v>1428</v>
      </c>
    </row>
    <row r="264" spans="1:5" ht="27.75" customHeight="1">
      <c r="A264" s="1013">
        <v>7130830854</v>
      </c>
      <c r="B264" s="1011" t="s">
        <v>211</v>
      </c>
      <c r="C264" s="1008" t="s">
        <v>1553</v>
      </c>
      <c r="D264" s="1012">
        <v>26</v>
      </c>
      <c r="E264" s="416" t="s">
        <v>1429</v>
      </c>
    </row>
    <row r="265" spans="1:5" ht="25.5">
      <c r="A265" s="1008">
        <v>7130830971</v>
      </c>
      <c r="B265" s="1003" t="s">
        <v>212</v>
      </c>
      <c r="C265" s="1008" t="s">
        <v>1553</v>
      </c>
      <c r="D265" s="1012">
        <v>195</v>
      </c>
      <c r="E265" s="416" t="s">
        <v>1430</v>
      </c>
    </row>
    <row r="266" spans="1:6" ht="17.25" customHeight="1">
      <c r="A266" s="1013">
        <v>7130840021</v>
      </c>
      <c r="B266" s="1011" t="s">
        <v>780</v>
      </c>
      <c r="C266" s="1008" t="s">
        <v>1553</v>
      </c>
      <c r="D266" s="1012">
        <v>3483</v>
      </c>
      <c r="E266" s="416" t="s">
        <v>1431</v>
      </c>
      <c r="F266" s="1046"/>
    </row>
    <row r="267" spans="1:6" ht="20.25" customHeight="1">
      <c r="A267" s="1013">
        <v>7130840029</v>
      </c>
      <c r="B267" s="1011" t="s">
        <v>781</v>
      </c>
      <c r="C267" s="1008" t="s">
        <v>1553</v>
      </c>
      <c r="D267" s="1012">
        <v>425</v>
      </c>
      <c r="E267" s="416" t="s">
        <v>1432</v>
      </c>
      <c r="F267" s="1046"/>
    </row>
    <row r="268" spans="1:5" ht="29.25" customHeight="1">
      <c r="A268" s="1013">
        <v>7130850201</v>
      </c>
      <c r="B268" s="1039" t="s">
        <v>1211</v>
      </c>
      <c r="C268" s="1013" t="s">
        <v>802</v>
      </c>
      <c r="D268" s="1012">
        <v>4547</v>
      </c>
      <c r="E268" s="416" t="s">
        <v>1433</v>
      </c>
    </row>
    <row r="269" spans="1:5" ht="27" customHeight="1">
      <c r="A269" s="1013">
        <v>7130850201</v>
      </c>
      <c r="B269" s="1039" t="s">
        <v>1212</v>
      </c>
      <c r="C269" s="1013" t="s">
        <v>803</v>
      </c>
      <c r="D269" s="1012">
        <v>4393</v>
      </c>
      <c r="E269" s="416" t="s">
        <v>1433</v>
      </c>
    </row>
    <row r="270" spans="1:5" ht="14.25">
      <c r="A270" s="1013">
        <v>7130860017</v>
      </c>
      <c r="B270" s="1039" t="s">
        <v>1213</v>
      </c>
      <c r="C270" s="1013" t="s">
        <v>803</v>
      </c>
      <c r="D270" s="261">
        <v>100</v>
      </c>
      <c r="E270" s="416" t="s">
        <v>1434</v>
      </c>
    </row>
    <row r="271" spans="1:5" ht="15" customHeight="1">
      <c r="A271" s="1013">
        <v>7130860032</v>
      </c>
      <c r="B271" s="1011" t="s">
        <v>1214</v>
      </c>
      <c r="C271" s="1008" t="s">
        <v>1553</v>
      </c>
      <c r="D271" s="1012">
        <v>387</v>
      </c>
      <c r="E271" s="416" t="s">
        <v>1435</v>
      </c>
    </row>
    <row r="272" spans="1:5" ht="12.75">
      <c r="A272" s="1013">
        <v>7130860033</v>
      </c>
      <c r="B272" s="1011" t="s">
        <v>1215</v>
      </c>
      <c r="C272" s="1008" t="s">
        <v>1553</v>
      </c>
      <c r="D272" s="1012">
        <v>705</v>
      </c>
      <c r="E272" s="416" t="s">
        <v>1436</v>
      </c>
    </row>
    <row r="273" spans="1:5" ht="12.75">
      <c r="A273" s="1013">
        <v>7130860076</v>
      </c>
      <c r="B273" s="1011" t="s">
        <v>1216</v>
      </c>
      <c r="C273" s="1008" t="s">
        <v>521</v>
      </c>
      <c r="D273" s="1012">
        <v>61002</v>
      </c>
      <c r="E273" s="416" t="s">
        <v>1437</v>
      </c>
    </row>
    <row r="274" spans="1:5" ht="12.75">
      <c r="A274" s="1013">
        <v>7130860077</v>
      </c>
      <c r="B274" s="1011" t="s">
        <v>1217</v>
      </c>
      <c r="C274" s="1008" t="s">
        <v>521</v>
      </c>
      <c r="D274" s="1012">
        <v>61600</v>
      </c>
      <c r="E274" s="416" t="s">
        <v>1438</v>
      </c>
    </row>
    <row r="275" spans="1:5" ht="15.75" customHeight="1">
      <c r="A275" s="1017">
        <v>7130870010</v>
      </c>
      <c r="B275" s="1028" t="s">
        <v>357</v>
      </c>
      <c r="C275" s="1029" t="s">
        <v>803</v>
      </c>
      <c r="D275" s="1020">
        <v>681</v>
      </c>
      <c r="E275" s="416"/>
    </row>
    <row r="276" spans="1:5" ht="39.75" customHeight="1">
      <c r="A276" s="1013">
        <v>7130870013</v>
      </c>
      <c r="B276" s="1011" t="s">
        <v>518</v>
      </c>
      <c r="C276" s="1008" t="s">
        <v>1553</v>
      </c>
      <c r="D276" s="1012">
        <v>100</v>
      </c>
      <c r="E276" s="416" t="s">
        <v>1439</v>
      </c>
    </row>
    <row r="277" spans="1:5" ht="15.75" customHeight="1">
      <c r="A277" s="1013">
        <v>7130870030</v>
      </c>
      <c r="B277" s="1039" t="s">
        <v>1218</v>
      </c>
      <c r="C277" s="1013" t="s">
        <v>803</v>
      </c>
      <c r="D277" s="1012">
        <v>371</v>
      </c>
      <c r="E277" s="416" t="s">
        <v>1440</v>
      </c>
    </row>
    <row r="278" spans="1:5" ht="15.75" customHeight="1">
      <c r="A278" s="1013">
        <v>7130870041</v>
      </c>
      <c r="B278" s="1011" t="s">
        <v>1219</v>
      </c>
      <c r="C278" s="1008" t="s">
        <v>521</v>
      </c>
      <c r="D278" s="1012">
        <v>55133</v>
      </c>
      <c r="E278" s="416" t="s">
        <v>1441</v>
      </c>
    </row>
    <row r="279" spans="1:5" ht="15.75" customHeight="1">
      <c r="A279" s="1013">
        <v>7130870043</v>
      </c>
      <c r="B279" s="1011" t="s">
        <v>1220</v>
      </c>
      <c r="C279" s="1008" t="s">
        <v>521</v>
      </c>
      <c r="D279" s="1012">
        <v>55094</v>
      </c>
      <c r="E279" s="416" t="s">
        <v>1442</v>
      </c>
    </row>
    <row r="280" spans="1:5" ht="15.75" customHeight="1">
      <c r="A280" s="1013">
        <v>7130870045</v>
      </c>
      <c r="B280" s="1011" t="s">
        <v>1221</v>
      </c>
      <c r="C280" s="1008" t="s">
        <v>521</v>
      </c>
      <c r="D280" s="1012">
        <v>55094</v>
      </c>
      <c r="E280" s="416" t="s">
        <v>1443</v>
      </c>
    </row>
    <row r="281" spans="1:5" ht="27.75" customHeight="1">
      <c r="A281" s="1015">
        <v>7130870088</v>
      </c>
      <c r="B281" s="1011" t="s">
        <v>1203</v>
      </c>
      <c r="C281" s="1008" t="s">
        <v>1553</v>
      </c>
      <c r="D281" s="1012">
        <v>1930</v>
      </c>
      <c r="E281" s="416"/>
    </row>
    <row r="282" spans="1:5" ht="25.5">
      <c r="A282" s="1018">
        <v>7130870318</v>
      </c>
      <c r="B282" s="1011" t="s">
        <v>869</v>
      </c>
      <c r="C282" s="1008" t="s">
        <v>802</v>
      </c>
      <c r="D282" s="1012">
        <v>1003</v>
      </c>
      <c r="E282" s="416" t="s">
        <v>1444</v>
      </c>
    </row>
    <row r="283" spans="1:6" ht="25.5" hidden="1">
      <c r="A283" s="1135">
        <v>7130877679</v>
      </c>
      <c r="B283" s="1125" t="s">
        <v>1039</v>
      </c>
      <c r="C283" s="1120" t="s">
        <v>1553</v>
      </c>
      <c r="D283" s="1123" t="s">
        <v>918</v>
      </c>
      <c r="E283" s="1124" t="s">
        <v>809</v>
      </c>
      <c r="F283" s="1139"/>
    </row>
    <row r="284" spans="1:5" ht="27.75" customHeight="1">
      <c r="A284" s="1027">
        <v>7130877681</v>
      </c>
      <c r="B284" s="1019" t="s">
        <v>352</v>
      </c>
      <c r="C284" s="1000" t="s">
        <v>1553</v>
      </c>
      <c r="D284" s="1025">
        <v>2270</v>
      </c>
      <c r="E284" s="416" t="s">
        <v>1222</v>
      </c>
    </row>
    <row r="285" spans="1:5" ht="25.5">
      <c r="A285" s="1000">
        <v>7130877683</v>
      </c>
      <c r="B285" s="1019" t="s">
        <v>353</v>
      </c>
      <c r="C285" s="1000" t="s">
        <v>1553</v>
      </c>
      <c r="D285" s="1012">
        <v>2018</v>
      </c>
      <c r="E285" s="416" t="s">
        <v>1445</v>
      </c>
    </row>
    <row r="286" spans="1:5" ht="27" customHeight="1">
      <c r="A286" s="1017">
        <v>7130880006</v>
      </c>
      <c r="B286" s="1016" t="s">
        <v>1546</v>
      </c>
      <c r="C286" s="1000" t="s">
        <v>803</v>
      </c>
      <c r="D286" s="1020">
        <v>113</v>
      </c>
      <c r="E286" s="416" t="s">
        <v>1446</v>
      </c>
    </row>
    <row r="287" spans="1:5" ht="27.75" customHeight="1">
      <c r="A287" s="1017">
        <v>7130880006</v>
      </c>
      <c r="B287" s="1028" t="s">
        <v>379</v>
      </c>
      <c r="C287" s="1036" t="s">
        <v>803</v>
      </c>
      <c r="D287" s="1020">
        <v>124</v>
      </c>
      <c r="E287" s="416" t="s">
        <v>1446</v>
      </c>
    </row>
    <row r="288" spans="1:5" ht="18" customHeight="1">
      <c r="A288" s="1013">
        <v>7130880041</v>
      </c>
      <c r="B288" s="1011" t="s">
        <v>1202</v>
      </c>
      <c r="C288" s="1008" t="s">
        <v>1553</v>
      </c>
      <c r="D288" s="1012">
        <v>74</v>
      </c>
      <c r="E288" s="416" t="s">
        <v>1447</v>
      </c>
    </row>
    <row r="289" spans="1:6" ht="18" hidden="1">
      <c r="A289" s="1122">
        <v>7130890003</v>
      </c>
      <c r="B289" s="1133" t="s">
        <v>1256</v>
      </c>
      <c r="C289" s="1122" t="s">
        <v>1553</v>
      </c>
      <c r="D289" s="1123" t="s">
        <v>918</v>
      </c>
      <c r="E289" s="1124" t="s">
        <v>1448</v>
      </c>
      <c r="F289" s="1139"/>
    </row>
    <row r="290" spans="1:5" ht="25.5">
      <c r="A290" s="1017">
        <v>7130890004</v>
      </c>
      <c r="B290" s="1016" t="s">
        <v>1486</v>
      </c>
      <c r="C290" s="1008" t="s">
        <v>1230</v>
      </c>
      <c r="D290" s="1012">
        <v>4543</v>
      </c>
      <c r="E290" s="416" t="s">
        <v>1449</v>
      </c>
    </row>
    <row r="291" spans="1:5" ht="25.5">
      <c r="A291" s="1017">
        <v>7130890005</v>
      </c>
      <c r="B291" s="1016" t="s">
        <v>1144</v>
      </c>
      <c r="C291" s="1008" t="s">
        <v>1230</v>
      </c>
      <c r="D291" s="1012">
        <v>5733</v>
      </c>
      <c r="E291" s="416"/>
    </row>
    <row r="292" spans="1:5" ht="25.5">
      <c r="A292" s="1017">
        <v>7130890006</v>
      </c>
      <c r="B292" s="1016" t="s">
        <v>1145</v>
      </c>
      <c r="C292" s="1008" t="s">
        <v>1230</v>
      </c>
      <c r="D292" s="1012">
        <v>13002</v>
      </c>
      <c r="E292" s="416" t="s">
        <v>1450</v>
      </c>
    </row>
    <row r="293" spans="1:5" ht="25.5">
      <c r="A293" s="1017">
        <v>7130890007</v>
      </c>
      <c r="B293" s="1016" t="s">
        <v>1146</v>
      </c>
      <c r="C293" s="1008" t="s">
        <v>1230</v>
      </c>
      <c r="D293" s="1012">
        <v>13621</v>
      </c>
      <c r="E293" s="416" t="s">
        <v>1451</v>
      </c>
    </row>
    <row r="294" spans="1:5" ht="25.5" customHeight="1">
      <c r="A294" s="1017">
        <v>7130890008</v>
      </c>
      <c r="B294" s="1016" t="s">
        <v>1147</v>
      </c>
      <c r="C294" s="1000" t="s">
        <v>1230</v>
      </c>
      <c r="D294" s="1020">
        <v>51</v>
      </c>
      <c r="E294" s="416" t="s">
        <v>1452</v>
      </c>
    </row>
    <row r="295" spans="1:5" ht="14.25" customHeight="1">
      <c r="A295" s="1017">
        <v>7130890009</v>
      </c>
      <c r="B295" s="1033" t="s">
        <v>1148</v>
      </c>
      <c r="C295" s="1012" t="s">
        <v>1230</v>
      </c>
      <c r="D295" s="1025">
        <v>4017</v>
      </c>
      <c r="E295" s="416" t="s">
        <v>1453</v>
      </c>
    </row>
    <row r="296" spans="1:5" ht="12.75">
      <c r="A296" s="1017">
        <v>7130893004</v>
      </c>
      <c r="B296" s="1030" t="s">
        <v>354</v>
      </c>
      <c r="C296" s="1029" t="s">
        <v>803</v>
      </c>
      <c r="D296" s="1020">
        <v>161</v>
      </c>
      <c r="E296" s="416" t="s">
        <v>1454</v>
      </c>
    </row>
    <row r="297" spans="1:5" ht="16.5" customHeight="1">
      <c r="A297" s="1013">
        <v>7130897759</v>
      </c>
      <c r="B297" s="1039" t="s">
        <v>810</v>
      </c>
      <c r="C297" s="1013" t="s">
        <v>802</v>
      </c>
      <c r="D297" s="1012">
        <v>3315</v>
      </c>
      <c r="E297" s="416" t="s">
        <v>1455</v>
      </c>
    </row>
    <row r="298" spans="1:5" ht="12.75">
      <c r="A298" s="1017">
        <v>7131210001</v>
      </c>
      <c r="B298" s="1016" t="s">
        <v>882</v>
      </c>
      <c r="C298" s="1000" t="s">
        <v>1230</v>
      </c>
      <c r="D298" s="1020">
        <v>106</v>
      </c>
      <c r="E298" s="416"/>
    </row>
    <row r="299" spans="1:6" ht="18" hidden="1">
      <c r="A299" s="1134">
        <v>7131210846</v>
      </c>
      <c r="B299" s="1125" t="s">
        <v>1257</v>
      </c>
      <c r="C299" s="1126" t="s">
        <v>803</v>
      </c>
      <c r="D299" s="1123" t="s">
        <v>918</v>
      </c>
      <c r="E299" s="1124" t="s">
        <v>1456</v>
      </c>
      <c r="F299" s="1139"/>
    </row>
    <row r="300" spans="1:5" ht="15.75" customHeight="1">
      <c r="A300" s="1015">
        <v>7131210852</v>
      </c>
      <c r="B300" s="1011" t="s">
        <v>427</v>
      </c>
      <c r="C300" s="1008" t="s">
        <v>1553</v>
      </c>
      <c r="D300" s="1012">
        <v>97</v>
      </c>
      <c r="E300" s="416"/>
    </row>
    <row r="301" spans="1:5" ht="15.75" customHeight="1">
      <c r="A301" s="1015">
        <v>7131210881</v>
      </c>
      <c r="B301" s="1011" t="s">
        <v>1526</v>
      </c>
      <c r="C301" s="1008" t="s">
        <v>1553</v>
      </c>
      <c r="D301" s="1012">
        <v>1260</v>
      </c>
      <c r="E301" s="416" t="s">
        <v>1457</v>
      </c>
    </row>
    <row r="302" spans="1:5" ht="15" customHeight="1">
      <c r="A302" s="1013">
        <v>7131220182</v>
      </c>
      <c r="B302" s="1011" t="s">
        <v>1529</v>
      </c>
      <c r="C302" s="1008" t="s">
        <v>1553</v>
      </c>
      <c r="D302" s="1012">
        <v>52</v>
      </c>
      <c r="E302" s="416" t="s">
        <v>1458</v>
      </c>
    </row>
    <row r="303" spans="1:5" ht="15.75" customHeight="1">
      <c r="A303" s="1015">
        <v>7131230003</v>
      </c>
      <c r="B303" s="1011" t="s">
        <v>1527</v>
      </c>
      <c r="C303" s="1008" t="s">
        <v>1553</v>
      </c>
      <c r="D303" s="1012">
        <v>470</v>
      </c>
      <c r="E303" s="416" t="s">
        <v>1459</v>
      </c>
    </row>
    <row r="304" spans="1:5" ht="15.75" customHeight="1">
      <c r="A304" s="1015">
        <v>7131230116</v>
      </c>
      <c r="B304" s="1011" t="s">
        <v>1525</v>
      </c>
      <c r="C304" s="1008" t="s">
        <v>1553</v>
      </c>
      <c r="D304" s="1012">
        <v>370</v>
      </c>
      <c r="E304" s="416" t="s">
        <v>1460</v>
      </c>
    </row>
    <row r="305" spans="1:5" ht="27" customHeight="1">
      <c r="A305" s="1031">
        <v>7131230128</v>
      </c>
      <c r="B305" s="1011" t="s">
        <v>1537</v>
      </c>
      <c r="C305" s="1008" t="s">
        <v>1553</v>
      </c>
      <c r="D305" s="1020">
        <v>1967</v>
      </c>
      <c r="E305" s="416" t="s">
        <v>1461</v>
      </c>
    </row>
    <row r="306" spans="1:5" ht="18" customHeight="1">
      <c r="A306" s="1015">
        <v>7131280006</v>
      </c>
      <c r="B306" s="1011" t="s">
        <v>429</v>
      </c>
      <c r="C306" s="1008" t="s">
        <v>1553</v>
      </c>
      <c r="D306" s="1012">
        <v>103</v>
      </c>
      <c r="E306" s="416"/>
    </row>
    <row r="307" spans="1:5" ht="12.75">
      <c r="A307" s="1015">
        <v>7131280007</v>
      </c>
      <c r="B307" s="1011" t="s">
        <v>430</v>
      </c>
      <c r="C307" s="1008" t="s">
        <v>1553</v>
      </c>
      <c r="D307" s="1012">
        <v>135</v>
      </c>
      <c r="E307" s="416" t="s">
        <v>1462</v>
      </c>
    </row>
    <row r="308" spans="1:5" ht="12.75">
      <c r="A308" s="1015">
        <v>7131280008</v>
      </c>
      <c r="B308" s="1011" t="s">
        <v>431</v>
      </c>
      <c r="C308" s="1008" t="s">
        <v>1553</v>
      </c>
      <c r="D308" s="1012">
        <v>174</v>
      </c>
      <c r="E308" s="416"/>
    </row>
    <row r="309" spans="1:5" ht="12.75">
      <c r="A309" s="1015">
        <v>7131280009</v>
      </c>
      <c r="B309" s="1011" t="s">
        <v>432</v>
      </c>
      <c r="C309" s="1008" t="s">
        <v>1553</v>
      </c>
      <c r="D309" s="1012">
        <v>161</v>
      </c>
      <c r="E309" s="416"/>
    </row>
    <row r="310" spans="1:5" ht="12.75">
      <c r="A310" s="1015">
        <v>7131280010</v>
      </c>
      <c r="B310" s="1011" t="s">
        <v>1528</v>
      </c>
      <c r="C310" s="1008" t="s">
        <v>1553</v>
      </c>
      <c r="D310" s="1012">
        <v>99</v>
      </c>
      <c r="E310" s="416"/>
    </row>
    <row r="311" spans="1:5" ht="25.5">
      <c r="A311" s="1015">
        <v>7131280011</v>
      </c>
      <c r="B311" s="1011" t="s">
        <v>1530</v>
      </c>
      <c r="C311" s="1008" t="s">
        <v>1553</v>
      </c>
      <c r="D311" s="1012">
        <v>6502</v>
      </c>
      <c r="E311" s="416"/>
    </row>
    <row r="312" spans="1:5" ht="12.75">
      <c r="A312" s="1015">
        <v>7131280012</v>
      </c>
      <c r="B312" s="1011" t="s">
        <v>1531</v>
      </c>
      <c r="C312" s="1008" t="s">
        <v>1553</v>
      </c>
      <c r="D312" s="1012">
        <v>650</v>
      </c>
      <c r="E312" s="416" t="s">
        <v>1463</v>
      </c>
    </row>
    <row r="313" spans="1:5" ht="12.75">
      <c r="A313" s="1015">
        <v>7131280013</v>
      </c>
      <c r="B313" s="1011" t="s">
        <v>1532</v>
      </c>
      <c r="C313" s="1008" t="s">
        <v>1553</v>
      </c>
      <c r="D313" s="1012">
        <v>2718</v>
      </c>
      <c r="E313" s="416" t="s">
        <v>1464</v>
      </c>
    </row>
    <row r="314" spans="1:5" ht="12.75">
      <c r="A314" s="1015">
        <v>7131280014</v>
      </c>
      <c r="B314" s="1011" t="s">
        <v>1533</v>
      </c>
      <c r="C314" s="1008" t="s">
        <v>1553</v>
      </c>
      <c r="D314" s="1012">
        <v>325</v>
      </c>
      <c r="E314" s="416" t="s">
        <v>1465</v>
      </c>
    </row>
    <row r="315" spans="1:5" ht="12.75">
      <c r="A315" s="1015">
        <v>7131280015</v>
      </c>
      <c r="B315" s="1011" t="s">
        <v>1534</v>
      </c>
      <c r="C315" s="1008" t="s">
        <v>1553</v>
      </c>
      <c r="D315" s="1012">
        <v>1355</v>
      </c>
      <c r="E315" s="416" t="s">
        <v>1466</v>
      </c>
    </row>
    <row r="316" spans="1:5" ht="25.5">
      <c r="A316" s="1015">
        <v>7131280016</v>
      </c>
      <c r="B316" s="1011" t="s">
        <v>1535</v>
      </c>
      <c r="C316" s="1008" t="s">
        <v>1553</v>
      </c>
      <c r="D316" s="1012">
        <v>3100</v>
      </c>
      <c r="E316" s="416" t="s">
        <v>1467</v>
      </c>
    </row>
    <row r="317" spans="1:5" ht="25.5">
      <c r="A317" s="1015">
        <v>7131280017</v>
      </c>
      <c r="B317" s="1011" t="s">
        <v>1536</v>
      </c>
      <c r="C317" s="1008" t="s">
        <v>1553</v>
      </c>
      <c r="D317" s="1012">
        <v>3874</v>
      </c>
      <c r="E317" s="416" t="s">
        <v>1468</v>
      </c>
    </row>
    <row r="318" spans="1:5" ht="12.75">
      <c r="A318" s="1015">
        <v>7131280882</v>
      </c>
      <c r="B318" s="1011" t="s">
        <v>428</v>
      </c>
      <c r="C318" s="1008" t="s">
        <v>1553</v>
      </c>
      <c r="D318" s="1012">
        <v>97</v>
      </c>
      <c r="E318" s="416"/>
    </row>
    <row r="319" spans="1:5" ht="25.5">
      <c r="A319" s="1013">
        <v>7131300046</v>
      </c>
      <c r="B319" s="1011" t="s">
        <v>1540</v>
      </c>
      <c r="C319" s="1008" t="s">
        <v>1553</v>
      </c>
      <c r="D319" s="1012">
        <v>2326</v>
      </c>
      <c r="E319" s="416" t="s">
        <v>1469</v>
      </c>
    </row>
    <row r="320" spans="1:5" ht="25.5">
      <c r="A320" s="1002">
        <v>7131300065</v>
      </c>
      <c r="B320" s="1003" t="s">
        <v>1622</v>
      </c>
      <c r="C320" s="1004" t="s">
        <v>1553</v>
      </c>
      <c r="D320" s="1005">
        <v>1039058</v>
      </c>
      <c r="E320" s="416" t="s">
        <v>1470</v>
      </c>
    </row>
    <row r="321" spans="1:5" ht="12.75">
      <c r="A321" s="1017">
        <v>7131300067</v>
      </c>
      <c r="B321" s="1019" t="s">
        <v>92</v>
      </c>
      <c r="C321" s="1002" t="s">
        <v>1230</v>
      </c>
      <c r="D321" s="1005">
        <v>178</v>
      </c>
      <c r="E321" s="416"/>
    </row>
    <row r="322" spans="1:5" ht="12.75">
      <c r="A322" s="1017">
        <v>7131300082</v>
      </c>
      <c r="B322" s="1019" t="s">
        <v>91</v>
      </c>
      <c r="C322" s="1000" t="s">
        <v>1230</v>
      </c>
      <c r="D322" s="1020">
        <v>648</v>
      </c>
      <c r="E322" s="416" t="s">
        <v>1471</v>
      </c>
    </row>
    <row r="323" spans="1:5" ht="38.25">
      <c r="A323" s="1013">
        <v>7131300500</v>
      </c>
      <c r="B323" s="1011" t="s">
        <v>840</v>
      </c>
      <c r="C323" s="1008" t="s">
        <v>1553</v>
      </c>
      <c r="D323" s="1012">
        <v>975</v>
      </c>
      <c r="E323" s="416" t="s">
        <v>1472</v>
      </c>
    </row>
    <row r="324" spans="1:5" ht="12.75">
      <c r="A324" s="1004">
        <v>7131300881</v>
      </c>
      <c r="B324" s="1003" t="s">
        <v>1621</v>
      </c>
      <c r="C324" s="1004" t="s">
        <v>1553</v>
      </c>
      <c r="D324" s="1006">
        <v>50063</v>
      </c>
      <c r="E324" s="416" t="s">
        <v>1473</v>
      </c>
    </row>
    <row r="325" spans="1:5" ht="12.75">
      <c r="A325" s="1004">
        <v>7131310013</v>
      </c>
      <c r="B325" s="1003" t="s">
        <v>1620</v>
      </c>
      <c r="C325" s="1004" t="s">
        <v>1553</v>
      </c>
      <c r="D325" s="1006">
        <v>4030</v>
      </c>
      <c r="E325" s="416" t="s">
        <v>1474</v>
      </c>
    </row>
    <row r="326" spans="1:5" ht="25.5">
      <c r="A326" s="1013">
        <v>7131310015</v>
      </c>
      <c r="B326" s="1011" t="s">
        <v>1544</v>
      </c>
      <c r="C326" s="1008" t="s">
        <v>1553</v>
      </c>
      <c r="D326" s="1012">
        <v>11297</v>
      </c>
      <c r="E326" s="416" t="s">
        <v>1475</v>
      </c>
    </row>
    <row r="327" spans="1:5" ht="25.5">
      <c r="A327" s="1004">
        <v>7131310033</v>
      </c>
      <c r="B327" s="1003" t="s">
        <v>1067</v>
      </c>
      <c r="C327" s="1004" t="s">
        <v>1553</v>
      </c>
      <c r="D327" s="1006">
        <v>3970</v>
      </c>
      <c r="E327" s="416" t="s">
        <v>1476</v>
      </c>
    </row>
    <row r="328" spans="1:5" ht="25.5">
      <c r="A328" s="1004">
        <v>7131310034</v>
      </c>
      <c r="B328" s="1003" t="s">
        <v>1617</v>
      </c>
      <c r="C328" s="1004" t="s">
        <v>1553</v>
      </c>
      <c r="D328" s="1006">
        <v>4030</v>
      </c>
      <c r="E328" s="416" t="s">
        <v>1476</v>
      </c>
    </row>
    <row r="329" spans="1:5" ht="15.75" customHeight="1">
      <c r="A329" s="1004">
        <v>7131310035</v>
      </c>
      <c r="B329" s="1003" t="s">
        <v>1619</v>
      </c>
      <c r="C329" s="1004" t="s">
        <v>1553</v>
      </c>
      <c r="D329" s="1006">
        <v>16362</v>
      </c>
      <c r="E329" s="416" t="s">
        <v>1477</v>
      </c>
    </row>
    <row r="330" spans="1:5" ht="15.75" customHeight="1">
      <c r="A330" s="1004">
        <v>7131310036</v>
      </c>
      <c r="B330" s="1003" t="s">
        <v>1618</v>
      </c>
      <c r="C330" s="1004" t="s">
        <v>1553</v>
      </c>
      <c r="D330" s="1006">
        <v>16362</v>
      </c>
      <c r="E330" s="416" t="s">
        <v>1478</v>
      </c>
    </row>
    <row r="331" spans="1:5" ht="15.75" customHeight="1">
      <c r="A331" s="1004">
        <v>7131310037</v>
      </c>
      <c r="B331" s="1003" t="s">
        <v>924</v>
      </c>
      <c r="C331" s="1004" t="s">
        <v>1553</v>
      </c>
      <c r="D331" s="1006">
        <v>870</v>
      </c>
      <c r="E331" s="416" t="s">
        <v>1479</v>
      </c>
    </row>
    <row r="332" spans="1:5" ht="25.5">
      <c r="A332" s="1013">
        <v>7131310994</v>
      </c>
      <c r="B332" s="1011" t="s">
        <v>1541</v>
      </c>
      <c r="C332" s="1008" t="s">
        <v>1553</v>
      </c>
      <c r="D332" s="1012">
        <v>2618</v>
      </c>
      <c r="E332" s="416" t="s">
        <v>1480</v>
      </c>
    </row>
    <row r="333" spans="1:5" ht="25.5">
      <c r="A333" s="1013">
        <v>7131310997</v>
      </c>
      <c r="B333" s="1011" t="s">
        <v>1542</v>
      </c>
      <c r="C333" s="1008" t="s">
        <v>1553</v>
      </c>
      <c r="D333" s="1012">
        <v>2487</v>
      </c>
      <c r="E333" s="416" t="s">
        <v>1481</v>
      </c>
    </row>
    <row r="334" spans="1:5" ht="19.5" customHeight="1">
      <c r="A334" s="1031">
        <v>7131320009</v>
      </c>
      <c r="B334" s="1016" t="s">
        <v>140</v>
      </c>
      <c r="C334" s="1000" t="s">
        <v>1230</v>
      </c>
      <c r="D334" s="1020">
        <v>2700</v>
      </c>
      <c r="E334" s="416" t="s">
        <v>1482</v>
      </c>
    </row>
    <row r="335" spans="1:5" ht="25.5">
      <c r="A335" s="1017">
        <v>7131321603</v>
      </c>
      <c r="B335" s="1016" t="s">
        <v>94</v>
      </c>
      <c r="C335" s="1000" t="s">
        <v>1230</v>
      </c>
      <c r="D335" s="1020">
        <v>3940</v>
      </c>
      <c r="E335" s="416"/>
    </row>
    <row r="336" spans="1:5" ht="17.25" customHeight="1">
      <c r="A336" s="1017">
        <v>7131324780</v>
      </c>
      <c r="B336" s="1016" t="s">
        <v>144</v>
      </c>
      <c r="C336" s="1000" t="s">
        <v>1230</v>
      </c>
      <c r="D336" s="1020">
        <v>3240</v>
      </c>
      <c r="E336" s="416"/>
    </row>
    <row r="337" spans="1:5" ht="17.25" customHeight="1">
      <c r="A337" s="1031">
        <v>7131324806</v>
      </c>
      <c r="B337" s="1016" t="s">
        <v>145</v>
      </c>
      <c r="C337" s="1000" t="s">
        <v>1230</v>
      </c>
      <c r="D337" s="1020">
        <v>4883</v>
      </c>
      <c r="E337" s="416" t="s">
        <v>1483</v>
      </c>
    </row>
    <row r="338" spans="1:5" ht="25.5">
      <c r="A338" s="1015">
        <v>7131329275</v>
      </c>
      <c r="B338" s="1011" t="s">
        <v>1624</v>
      </c>
      <c r="C338" s="1008" t="s">
        <v>1553</v>
      </c>
      <c r="D338" s="1012">
        <v>6842</v>
      </c>
      <c r="E338" s="416"/>
    </row>
    <row r="339" spans="1:9" ht="25.5">
      <c r="A339" s="1015">
        <v>7131334001</v>
      </c>
      <c r="B339" s="1011" t="s">
        <v>1625</v>
      </c>
      <c r="C339" s="1008" t="s">
        <v>1230</v>
      </c>
      <c r="D339" s="1012">
        <v>7851</v>
      </c>
      <c r="E339" s="416" t="s">
        <v>281</v>
      </c>
      <c r="I339" s="1015" t="s">
        <v>811</v>
      </c>
    </row>
    <row r="340" spans="1:9" ht="38.25" customHeight="1">
      <c r="A340" s="1015">
        <v>7131334002</v>
      </c>
      <c r="B340" s="1011" t="s">
        <v>1626</v>
      </c>
      <c r="C340" s="1008" t="s">
        <v>1230</v>
      </c>
      <c r="D340" s="1012">
        <v>7278</v>
      </c>
      <c r="E340" s="416" t="s">
        <v>282</v>
      </c>
      <c r="I340" s="1015" t="s">
        <v>812</v>
      </c>
    </row>
    <row r="341" spans="1:9" ht="25.5">
      <c r="A341" s="1015">
        <v>7131399007</v>
      </c>
      <c r="B341" s="1011" t="s">
        <v>1627</v>
      </c>
      <c r="C341" s="1008" t="s">
        <v>1230</v>
      </c>
      <c r="D341" s="1012">
        <v>1585</v>
      </c>
      <c r="E341" s="416"/>
      <c r="I341" s="1015" t="s">
        <v>813</v>
      </c>
    </row>
    <row r="342" spans="1:5" ht="25.5">
      <c r="A342" s="1017">
        <v>7131338004</v>
      </c>
      <c r="B342" s="1016" t="s">
        <v>89</v>
      </c>
      <c r="C342" s="1000" t="s">
        <v>1230</v>
      </c>
      <c r="D342" s="1020">
        <v>64638</v>
      </c>
      <c r="E342" s="416"/>
    </row>
    <row r="343" spans="1:5" ht="14.25" customHeight="1">
      <c r="A343" s="1031">
        <v>7131338025</v>
      </c>
      <c r="B343" s="1019" t="s">
        <v>80</v>
      </c>
      <c r="C343" s="1000" t="s">
        <v>1230</v>
      </c>
      <c r="D343" s="1020">
        <v>51</v>
      </c>
      <c r="E343" s="416" t="s">
        <v>283</v>
      </c>
    </row>
    <row r="344" spans="1:5" ht="13.5" customHeight="1">
      <c r="A344" s="1017">
        <v>7131387501</v>
      </c>
      <c r="B344" s="1016" t="s">
        <v>139</v>
      </c>
      <c r="C344" s="1000" t="s">
        <v>1230</v>
      </c>
      <c r="D344" s="1020">
        <v>216</v>
      </c>
      <c r="E344" s="222"/>
    </row>
    <row r="345" spans="1:5" ht="15.75" customHeight="1">
      <c r="A345" s="1017">
        <v>7131387502</v>
      </c>
      <c r="B345" s="1016" t="s">
        <v>142</v>
      </c>
      <c r="C345" s="1000" t="s">
        <v>1230</v>
      </c>
      <c r="D345" s="1020">
        <v>427</v>
      </c>
      <c r="E345" s="222" t="s">
        <v>284</v>
      </c>
    </row>
    <row r="346" spans="1:6" ht="38.25" hidden="1">
      <c r="A346" s="1120">
        <v>7131390009</v>
      </c>
      <c r="B346" s="1125" t="s">
        <v>1355</v>
      </c>
      <c r="C346" s="1120" t="s">
        <v>1230</v>
      </c>
      <c r="D346" s="1123" t="s">
        <v>918</v>
      </c>
      <c r="E346" s="1129"/>
      <c r="F346" s="1139"/>
    </row>
    <row r="347" spans="1:6" ht="29.25" customHeight="1" hidden="1">
      <c r="A347" s="1120">
        <v>7131390010</v>
      </c>
      <c r="B347" s="1133" t="s">
        <v>1356</v>
      </c>
      <c r="C347" s="1120" t="s">
        <v>1553</v>
      </c>
      <c r="D347" s="1123" t="s">
        <v>918</v>
      </c>
      <c r="E347" s="1129"/>
      <c r="F347" s="1139"/>
    </row>
    <row r="348" spans="1:6" ht="38.25" hidden="1">
      <c r="A348" s="1120">
        <v>7131390012</v>
      </c>
      <c r="B348" s="1125" t="s">
        <v>1357</v>
      </c>
      <c r="C348" s="1120" t="s">
        <v>1230</v>
      </c>
      <c r="D348" s="1123" t="s">
        <v>918</v>
      </c>
      <c r="E348" s="1129"/>
      <c r="F348" s="1139"/>
    </row>
    <row r="349" spans="1:6" ht="39.75" customHeight="1" hidden="1">
      <c r="A349" s="1120">
        <v>7131390013</v>
      </c>
      <c r="B349" s="1125" t="s">
        <v>1358</v>
      </c>
      <c r="C349" s="1120" t="s">
        <v>1230</v>
      </c>
      <c r="D349" s="1123" t="s">
        <v>918</v>
      </c>
      <c r="E349" s="1129"/>
      <c r="F349" s="1139"/>
    </row>
    <row r="350" spans="1:5" ht="12.75">
      <c r="A350" s="1017">
        <v>7131390014</v>
      </c>
      <c r="B350" s="1016" t="s">
        <v>178</v>
      </c>
      <c r="C350" s="1000" t="s">
        <v>1230</v>
      </c>
      <c r="D350" s="1020">
        <v>169</v>
      </c>
      <c r="E350" s="222"/>
    </row>
    <row r="351" spans="1:5" ht="12.75">
      <c r="A351" s="1017">
        <v>7131390015</v>
      </c>
      <c r="B351" s="1016" t="s">
        <v>179</v>
      </c>
      <c r="C351" s="1000" t="s">
        <v>1230</v>
      </c>
      <c r="D351" s="1020">
        <v>31</v>
      </c>
      <c r="E351" s="222"/>
    </row>
    <row r="352" spans="1:5" ht="15" customHeight="1">
      <c r="A352" s="1017">
        <v>7131390016</v>
      </c>
      <c r="B352" s="1016" t="s">
        <v>180</v>
      </c>
      <c r="C352" s="1000" t="s">
        <v>1230</v>
      </c>
      <c r="D352" s="1020">
        <v>420</v>
      </c>
      <c r="E352" s="222"/>
    </row>
    <row r="353" spans="1:5" ht="15" customHeight="1">
      <c r="A353" s="1015">
        <v>7131820031</v>
      </c>
      <c r="B353" s="1011" t="s">
        <v>814</v>
      </c>
      <c r="C353" s="1008" t="s">
        <v>1553</v>
      </c>
      <c r="D353" s="1012">
        <v>101</v>
      </c>
      <c r="E353" s="222"/>
    </row>
    <row r="354" spans="1:5" ht="15" customHeight="1">
      <c r="A354" s="1015">
        <v>7131820032</v>
      </c>
      <c r="B354" s="1011" t="s">
        <v>815</v>
      </c>
      <c r="C354" s="1008" t="s">
        <v>1553</v>
      </c>
      <c r="D354" s="1012">
        <v>101</v>
      </c>
      <c r="E354" s="222" t="s">
        <v>285</v>
      </c>
    </row>
    <row r="355" spans="1:5" ht="15" customHeight="1">
      <c r="A355" s="1015">
        <v>7131820033</v>
      </c>
      <c r="B355" s="1011" t="s">
        <v>817</v>
      </c>
      <c r="C355" s="1008" t="s">
        <v>1553</v>
      </c>
      <c r="D355" s="1012">
        <v>430</v>
      </c>
      <c r="E355" s="222"/>
    </row>
    <row r="356" spans="1:5" ht="15" customHeight="1">
      <c r="A356" s="1015">
        <v>7131820034</v>
      </c>
      <c r="B356" s="1011" t="s">
        <v>816</v>
      </c>
      <c r="C356" s="1008" t="s">
        <v>1553</v>
      </c>
      <c r="D356" s="1012">
        <v>430</v>
      </c>
      <c r="E356" s="222"/>
    </row>
    <row r="357" spans="1:5" ht="25.5" customHeight="1">
      <c r="A357" s="1015">
        <v>7131820035</v>
      </c>
      <c r="B357" s="1011" t="s">
        <v>818</v>
      </c>
      <c r="C357" s="1008" t="s">
        <v>1553</v>
      </c>
      <c r="D357" s="1012">
        <v>2865</v>
      </c>
      <c r="E357" s="222"/>
    </row>
    <row r="358" spans="1:5" ht="25.5">
      <c r="A358" s="1015">
        <v>7131820036</v>
      </c>
      <c r="B358" s="1011" t="s">
        <v>819</v>
      </c>
      <c r="C358" s="1008" t="s">
        <v>1553</v>
      </c>
      <c r="D358" s="1012">
        <v>3104</v>
      </c>
      <c r="E358" s="222"/>
    </row>
    <row r="359" spans="1:5" ht="25.5">
      <c r="A359" s="1015">
        <v>7131820037</v>
      </c>
      <c r="B359" s="1011" t="s">
        <v>820</v>
      </c>
      <c r="C359" s="1008" t="s">
        <v>1553</v>
      </c>
      <c r="D359" s="1012">
        <v>3104</v>
      </c>
      <c r="E359" s="222"/>
    </row>
    <row r="360" spans="1:5" ht="16.5" customHeight="1">
      <c r="A360" s="1015">
        <v>7131820038</v>
      </c>
      <c r="B360" s="1011" t="s">
        <v>821</v>
      </c>
      <c r="C360" s="1008" t="s">
        <v>1553</v>
      </c>
      <c r="D360" s="1012">
        <v>2268</v>
      </c>
      <c r="E360" s="222"/>
    </row>
    <row r="361" spans="1:5" ht="16.5" customHeight="1">
      <c r="A361" s="1015">
        <v>7131820039</v>
      </c>
      <c r="B361" s="1011" t="s">
        <v>822</v>
      </c>
      <c r="C361" s="1008" t="s">
        <v>1553</v>
      </c>
      <c r="D361" s="1012">
        <v>5193</v>
      </c>
      <c r="E361" s="222" t="s">
        <v>286</v>
      </c>
    </row>
    <row r="362" spans="1:5" ht="25.5">
      <c r="A362" s="1013">
        <v>7131900005</v>
      </c>
      <c r="B362" s="1003" t="s">
        <v>874</v>
      </c>
      <c r="C362" s="1008" t="s">
        <v>1553</v>
      </c>
      <c r="D362" s="1012">
        <v>2114</v>
      </c>
      <c r="E362" s="416" t="s">
        <v>287</v>
      </c>
    </row>
    <row r="363" spans="1:5" ht="14.25" customHeight="1" hidden="1">
      <c r="A363" s="1131">
        <v>7131900005</v>
      </c>
      <c r="B363" s="1129"/>
      <c r="C363" s="1129"/>
      <c r="D363" s="1132">
        <v>2603</v>
      </c>
      <c r="E363" s="1124" t="s">
        <v>287</v>
      </c>
    </row>
    <row r="364" spans="1:5" ht="25.5">
      <c r="A364" s="1022">
        <v>7131900033</v>
      </c>
      <c r="B364" s="1019" t="s">
        <v>823</v>
      </c>
      <c r="C364" s="1004" t="s">
        <v>803</v>
      </c>
      <c r="D364" s="1006">
        <v>7</v>
      </c>
      <c r="E364" s="416" t="s">
        <v>714</v>
      </c>
    </row>
    <row r="365" spans="1:5" ht="17.25" customHeight="1">
      <c r="A365" s="1015">
        <v>7131900071</v>
      </c>
      <c r="B365" s="1011" t="s">
        <v>824</v>
      </c>
      <c r="C365" s="1008" t="s">
        <v>1553</v>
      </c>
      <c r="D365" s="1025">
        <v>283</v>
      </c>
      <c r="E365" s="416" t="s">
        <v>715</v>
      </c>
    </row>
    <row r="366" spans="1:5" ht="12.75">
      <c r="A366" s="1015">
        <v>7131900072</v>
      </c>
      <c r="B366" s="1011" t="s">
        <v>825</v>
      </c>
      <c r="C366" s="1008" t="s">
        <v>1553</v>
      </c>
      <c r="D366" s="1025">
        <v>435</v>
      </c>
      <c r="E366" s="416" t="s">
        <v>716</v>
      </c>
    </row>
    <row r="367" spans="1:5" ht="21" customHeight="1">
      <c r="A367" s="1022">
        <v>7131900625</v>
      </c>
      <c r="B367" s="1019" t="s">
        <v>827</v>
      </c>
      <c r="C367" s="1004" t="s">
        <v>803</v>
      </c>
      <c r="D367" s="1006">
        <v>13</v>
      </c>
      <c r="E367" s="416" t="s">
        <v>717</v>
      </c>
    </row>
    <row r="368" spans="1:5" ht="17.25" customHeight="1">
      <c r="A368" s="1022">
        <v>7131900650</v>
      </c>
      <c r="B368" s="1019" t="s">
        <v>828</v>
      </c>
      <c r="C368" s="1004" t="s">
        <v>803</v>
      </c>
      <c r="D368" s="1006">
        <v>14</v>
      </c>
      <c r="E368" s="416" t="s">
        <v>718</v>
      </c>
    </row>
    <row r="369" spans="1:5" ht="18" customHeight="1">
      <c r="A369" s="1013">
        <v>7131900876</v>
      </c>
      <c r="B369" s="1011" t="s">
        <v>830</v>
      </c>
      <c r="C369" s="1008" t="s">
        <v>1553</v>
      </c>
      <c r="D369" s="1012">
        <v>279</v>
      </c>
      <c r="E369" s="416" t="s">
        <v>719</v>
      </c>
    </row>
    <row r="370" spans="1:5" ht="18.75" customHeight="1">
      <c r="A370" s="1015">
        <v>7131900876</v>
      </c>
      <c r="B370" s="1011" t="s">
        <v>826</v>
      </c>
      <c r="C370" s="1008" t="s">
        <v>1553</v>
      </c>
      <c r="D370" s="1025">
        <v>109</v>
      </c>
      <c r="E370" s="416" t="s">
        <v>719</v>
      </c>
    </row>
    <row r="371" spans="1:5" ht="16.5" customHeight="1">
      <c r="A371" s="1013">
        <v>7131900880</v>
      </c>
      <c r="B371" s="1011" t="s">
        <v>829</v>
      </c>
      <c r="C371" s="1008" t="s">
        <v>1553</v>
      </c>
      <c r="D371" s="1012">
        <v>701</v>
      </c>
      <c r="E371" s="416" t="s">
        <v>928</v>
      </c>
    </row>
    <row r="372" spans="1:5" ht="17.25" customHeight="1">
      <c r="A372" s="1013">
        <v>7131900881</v>
      </c>
      <c r="B372" s="1011" t="s">
        <v>831</v>
      </c>
      <c r="C372" s="1008" t="s">
        <v>1553</v>
      </c>
      <c r="D372" s="1012">
        <v>775</v>
      </c>
      <c r="E372" s="416" t="s">
        <v>929</v>
      </c>
    </row>
    <row r="373" spans="1:5" ht="12.75">
      <c r="A373" s="1004">
        <v>7131900969</v>
      </c>
      <c r="B373" s="1019" t="s">
        <v>832</v>
      </c>
      <c r="C373" s="1004" t="s">
        <v>458</v>
      </c>
      <c r="D373" s="1006">
        <v>684</v>
      </c>
      <c r="E373" s="416" t="s">
        <v>930</v>
      </c>
    </row>
    <row r="374" spans="1:5" ht="12.75" customHeight="1">
      <c r="A374" s="1004">
        <v>7131900971</v>
      </c>
      <c r="B374" s="1019" t="s">
        <v>833</v>
      </c>
      <c r="C374" s="1004" t="s">
        <v>458</v>
      </c>
      <c r="D374" s="1006">
        <v>683</v>
      </c>
      <c r="E374" s="416" t="s">
        <v>931</v>
      </c>
    </row>
    <row r="375" spans="1:5" ht="15.75" customHeight="1">
      <c r="A375" s="1004">
        <v>7131900973</v>
      </c>
      <c r="B375" s="1019" t="s">
        <v>834</v>
      </c>
      <c r="C375" s="1004" t="s">
        <v>458</v>
      </c>
      <c r="D375" s="1006">
        <v>681</v>
      </c>
      <c r="E375" s="416" t="s">
        <v>932</v>
      </c>
    </row>
    <row r="376" spans="1:5" ht="12.75">
      <c r="A376" s="1004">
        <v>7131900975</v>
      </c>
      <c r="B376" s="1019" t="s">
        <v>1286</v>
      </c>
      <c r="C376" s="1004" t="s">
        <v>458</v>
      </c>
      <c r="D376" s="1006">
        <v>674</v>
      </c>
      <c r="E376" s="416" t="s">
        <v>933</v>
      </c>
    </row>
    <row r="377" spans="1:5" ht="12.75" customHeight="1">
      <c r="A377" s="1004">
        <v>7131900977</v>
      </c>
      <c r="B377" s="1019" t="s">
        <v>1287</v>
      </c>
      <c r="C377" s="1004" t="s">
        <v>458</v>
      </c>
      <c r="D377" s="1006">
        <v>671</v>
      </c>
      <c r="E377" s="416" t="s">
        <v>934</v>
      </c>
    </row>
    <row r="378" spans="1:5" ht="12.75">
      <c r="A378" s="1004">
        <v>7131900979</v>
      </c>
      <c r="B378" s="1019" t="s">
        <v>1288</v>
      </c>
      <c r="C378" s="1004" t="s">
        <v>458</v>
      </c>
      <c r="D378" s="1006">
        <v>671</v>
      </c>
      <c r="E378" s="416" t="s">
        <v>935</v>
      </c>
    </row>
    <row r="379" spans="1:5" ht="12.75">
      <c r="A379" s="1004">
        <v>7131900981</v>
      </c>
      <c r="B379" s="1019" t="s">
        <v>1289</v>
      </c>
      <c r="C379" s="1004" t="s">
        <v>458</v>
      </c>
      <c r="D379" s="1006">
        <v>672</v>
      </c>
      <c r="E379" s="416" t="s">
        <v>1507</v>
      </c>
    </row>
    <row r="380" spans="1:5" ht="12.75">
      <c r="A380" s="1013">
        <v>7131910653</v>
      </c>
      <c r="B380" s="1011" t="s">
        <v>1290</v>
      </c>
      <c r="C380" s="1008" t="s">
        <v>1553</v>
      </c>
      <c r="D380" s="1012">
        <v>44</v>
      </c>
      <c r="E380" s="416" t="s">
        <v>1508</v>
      </c>
    </row>
    <row r="381" spans="1:5" ht="15" customHeight="1">
      <c r="A381" s="1013">
        <v>7131910654</v>
      </c>
      <c r="B381" s="1011" t="s">
        <v>1291</v>
      </c>
      <c r="C381" s="1008" t="s">
        <v>1553</v>
      </c>
      <c r="D381" s="1012">
        <v>87</v>
      </c>
      <c r="E381" s="416" t="s">
        <v>1509</v>
      </c>
    </row>
    <row r="382" spans="1:5" ht="18.75" customHeight="1">
      <c r="A382" s="1015">
        <v>7131910655</v>
      </c>
      <c r="B382" s="1011" t="s">
        <v>947</v>
      </c>
      <c r="C382" s="1008" t="s">
        <v>1553</v>
      </c>
      <c r="D382" s="1012">
        <v>25</v>
      </c>
      <c r="E382" s="416" t="s">
        <v>858</v>
      </c>
    </row>
    <row r="383" spans="1:5" ht="12.75">
      <c r="A383" s="1013">
        <v>7131910656</v>
      </c>
      <c r="B383" s="1011" t="s">
        <v>948</v>
      </c>
      <c r="C383" s="1008" t="s">
        <v>1553</v>
      </c>
      <c r="D383" s="1012">
        <v>269</v>
      </c>
      <c r="E383" s="416" t="s">
        <v>859</v>
      </c>
    </row>
    <row r="384" spans="1:5" ht="12.75">
      <c r="A384" s="1013">
        <v>7131910657</v>
      </c>
      <c r="B384" s="1011" t="s">
        <v>949</v>
      </c>
      <c r="C384" s="1008" t="s">
        <v>1553</v>
      </c>
      <c r="D384" s="1012">
        <v>534</v>
      </c>
      <c r="E384" s="416" t="s">
        <v>860</v>
      </c>
    </row>
    <row r="385" spans="1:5" ht="12.75">
      <c r="A385" s="1013">
        <v>7131910658</v>
      </c>
      <c r="B385" s="1011" t="s">
        <v>950</v>
      </c>
      <c r="C385" s="1008" t="s">
        <v>1553</v>
      </c>
      <c r="D385" s="1012">
        <v>964</v>
      </c>
      <c r="E385" s="416" t="s">
        <v>861</v>
      </c>
    </row>
    <row r="386" spans="1:5" ht="21" customHeight="1">
      <c r="A386" s="1004">
        <v>7131920112</v>
      </c>
      <c r="B386" s="1014" t="s">
        <v>875</v>
      </c>
      <c r="C386" s="1004" t="s">
        <v>1553</v>
      </c>
      <c r="D386" s="1012">
        <v>248028</v>
      </c>
      <c r="E386" s="416" t="s">
        <v>862</v>
      </c>
    </row>
    <row r="387" spans="1:5" ht="12.75">
      <c r="A387" s="1013">
        <v>7131920253</v>
      </c>
      <c r="B387" s="1011" t="s">
        <v>951</v>
      </c>
      <c r="C387" s="1008" t="s">
        <v>1553</v>
      </c>
      <c r="D387" s="1012">
        <v>681</v>
      </c>
      <c r="E387" s="416" t="s">
        <v>863</v>
      </c>
    </row>
    <row r="388" spans="1:18" ht="15" customHeight="1">
      <c r="A388" s="1013">
        <v>7131920254</v>
      </c>
      <c r="B388" s="1011" t="s">
        <v>952</v>
      </c>
      <c r="C388" s="1008" t="s">
        <v>1553</v>
      </c>
      <c r="D388" s="1012">
        <v>1634</v>
      </c>
      <c r="E388" s="416" t="s">
        <v>0</v>
      </c>
      <c r="R388" s="1">
        <f>(13550-9794.56)/9794.56*100</f>
        <v>38.34210010454784</v>
      </c>
    </row>
    <row r="389" spans="1:18" ht="14.25" customHeight="1">
      <c r="A389" s="1013">
        <v>7131920256</v>
      </c>
      <c r="B389" s="1011" t="s">
        <v>953</v>
      </c>
      <c r="C389" s="1008" t="s">
        <v>1553</v>
      </c>
      <c r="D389" s="1012">
        <v>3161</v>
      </c>
      <c r="E389" s="416" t="s">
        <v>1</v>
      </c>
      <c r="R389" s="1">
        <f>(20500-15293.6)/15293.6*100</f>
        <v>34.04299837840665</v>
      </c>
    </row>
    <row r="390" spans="1:18" ht="14.25" customHeight="1">
      <c r="A390" s="1013">
        <v>7131920258</v>
      </c>
      <c r="B390" s="1011" t="s">
        <v>954</v>
      </c>
      <c r="C390" s="1008" t="s">
        <v>1553</v>
      </c>
      <c r="D390" s="1012">
        <v>4438</v>
      </c>
      <c r="E390" s="416" t="s">
        <v>2</v>
      </c>
      <c r="R390" s="1">
        <f>(33650-24258.16)/24258.16*100</f>
        <v>38.71620930853783</v>
      </c>
    </row>
    <row r="391" spans="1:18" ht="15.75" customHeight="1">
      <c r="A391" s="1013">
        <v>7131920259</v>
      </c>
      <c r="B391" s="1011" t="s">
        <v>955</v>
      </c>
      <c r="C391" s="1008" t="s">
        <v>1553</v>
      </c>
      <c r="D391" s="1012">
        <v>6021</v>
      </c>
      <c r="E391" s="416" t="s">
        <v>3</v>
      </c>
      <c r="R391" s="1">
        <f>(51000-30258)/30258*100</f>
        <v>68.55046599246481</v>
      </c>
    </row>
    <row r="392" spans="1:18" ht="12.75" customHeight="1">
      <c r="A392" s="1013">
        <v>7131920260</v>
      </c>
      <c r="B392" s="1011" t="s">
        <v>956</v>
      </c>
      <c r="C392" s="1008" t="s">
        <v>1553</v>
      </c>
      <c r="D392" s="1012">
        <v>9095</v>
      </c>
      <c r="E392" s="416" t="s">
        <v>4</v>
      </c>
      <c r="R392" s="1">
        <f>(67000-44299.43)/44299.43*100</f>
        <v>51.24348101092948</v>
      </c>
    </row>
    <row r="393" spans="1:6" ht="18" hidden="1">
      <c r="A393" s="1130">
        <v>7131920767</v>
      </c>
      <c r="B393" s="1121" t="s">
        <v>797</v>
      </c>
      <c r="C393" s="1120" t="s">
        <v>803</v>
      </c>
      <c r="D393" s="1123" t="s">
        <v>918</v>
      </c>
      <c r="E393" s="1124" t="s">
        <v>5</v>
      </c>
      <c r="F393" s="1139"/>
    </row>
    <row r="394" spans="1:5" ht="12.75" customHeight="1">
      <c r="A394" s="1015">
        <v>7131930109</v>
      </c>
      <c r="B394" s="1011" t="s">
        <v>1586</v>
      </c>
      <c r="C394" s="1008" t="s">
        <v>1553</v>
      </c>
      <c r="D394" s="1012">
        <v>40392</v>
      </c>
      <c r="E394" s="416" t="s">
        <v>6</v>
      </c>
    </row>
    <row r="395" spans="1:5" ht="12.75">
      <c r="A395" s="1013">
        <v>7131930221</v>
      </c>
      <c r="B395" s="1011" t="s">
        <v>957</v>
      </c>
      <c r="C395" s="1008" t="s">
        <v>1553</v>
      </c>
      <c r="D395" s="1012">
        <v>7750</v>
      </c>
      <c r="E395" s="416" t="s">
        <v>556</v>
      </c>
    </row>
    <row r="396" spans="1:5" ht="12.75">
      <c r="A396" s="1004">
        <v>7131930221</v>
      </c>
      <c r="B396" s="1003" t="s">
        <v>1033</v>
      </c>
      <c r="C396" s="1004" t="s">
        <v>802</v>
      </c>
      <c r="D396" s="1006">
        <v>12911</v>
      </c>
      <c r="E396" s="416" t="s">
        <v>556</v>
      </c>
    </row>
    <row r="397" spans="1:5" ht="12.75">
      <c r="A397" s="1013">
        <v>7131930321</v>
      </c>
      <c r="B397" s="1011" t="s">
        <v>958</v>
      </c>
      <c r="C397" s="1008" t="s">
        <v>1553</v>
      </c>
      <c r="D397" s="1012">
        <v>18624</v>
      </c>
      <c r="E397" s="416" t="s">
        <v>557</v>
      </c>
    </row>
    <row r="398" spans="1:5" ht="12.75">
      <c r="A398" s="1013">
        <v>7131930412</v>
      </c>
      <c r="B398" s="1011" t="s">
        <v>959</v>
      </c>
      <c r="C398" s="1008" t="s">
        <v>1553</v>
      </c>
      <c r="D398" s="1012">
        <v>1199</v>
      </c>
      <c r="E398" s="416" t="s">
        <v>558</v>
      </c>
    </row>
    <row r="399" spans="1:5" ht="12.75">
      <c r="A399" s="1013">
        <v>7131930415</v>
      </c>
      <c r="B399" s="1011" t="s">
        <v>960</v>
      </c>
      <c r="C399" s="1008" t="s">
        <v>1553</v>
      </c>
      <c r="D399" s="1012">
        <v>2918</v>
      </c>
      <c r="E399" s="416" t="s">
        <v>559</v>
      </c>
    </row>
    <row r="400" spans="1:5" ht="12.75">
      <c r="A400" s="1013">
        <v>7131930663</v>
      </c>
      <c r="B400" s="1011" t="s">
        <v>1585</v>
      </c>
      <c r="C400" s="1008" t="s">
        <v>1553</v>
      </c>
      <c r="D400" s="1012">
        <v>20680</v>
      </c>
      <c r="E400" s="416" t="s">
        <v>560</v>
      </c>
    </row>
    <row r="401" spans="1:5" ht="25.5">
      <c r="A401" s="1013">
        <v>7131930752</v>
      </c>
      <c r="B401" s="1011" t="s">
        <v>1607</v>
      </c>
      <c r="C401" s="1008" t="s">
        <v>1553</v>
      </c>
      <c r="D401" s="1012">
        <v>35789</v>
      </c>
      <c r="E401" s="416" t="s">
        <v>561</v>
      </c>
    </row>
    <row r="402" spans="1:5" ht="12.75">
      <c r="A402" s="1013">
        <v>7131940602</v>
      </c>
      <c r="B402" s="1011" t="s">
        <v>961</v>
      </c>
      <c r="C402" s="1008" t="s">
        <v>1553</v>
      </c>
      <c r="D402" s="1012">
        <v>2387</v>
      </c>
      <c r="E402" s="222" t="s">
        <v>562</v>
      </c>
    </row>
    <row r="403" spans="1:5" ht="12.75">
      <c r="A403" s="1013">
        <v>7131940610</v>
      </c>
      <c r="B403" s="1011" t="s">
        <v>962</v>
      </c>
      <c r="C403" s="1008" t="s">
        <v>1553</v>
      </c>
      <c r="D403" s="1012">
        <v>22680</v>
      </c>
      <c r="E403" s="222" t="s">
        <v>563</v>
      </c>
    </row>
    <row r="404" spans="1:5" ht="12.75">
      <c r="A404" s="1013">
        <v>7131940612</v>
      </c>
      <c r="B404" s="1011" t="s">
        <v>963</v>
      </c>
      <c r="C404" s="1008" t="s">
        <v>1553</v>
      </c>
      <c r="D404" s="1012">
        <v>22680</v>
      </c>
      <c r="E404" s="222"/>
    </row>
    <row r="405" spans="1:5" ht="25.5">
      <c r="A405" s="1013">
        <v>7131941762</v>
      </c>
      <c r="B405" s="1032" t="s">
        <v>876</v>
      </c>
      <c r="C405" s="1008" t="s">
        <v>1553</v>
      </c>
      <c r="D405" s="1012">
        <v>110737</v>
      </c>
      <c r="E405" s="222" t="s">
        <v>564</v>
      </c>
    </row>
    <row r="406" spans="1:5" ht="25.5">
      <c r="A406" s="1013">
        <v>7131943380</v>
      </c>
      <c r="B406" s="1032" t="s">
        <v>1580</v>
      </c>
      <c r="C406" s="1008" t="s">
        <v>1553</v>
      </c>
      <c r="D406" s="1012">
        <v>226584</v>
      </c>
      <c r="E406" s="222" t="s">
        <v>565</v>
      </c>
    </row>
    <row r="407" spans="1:6" ht="18" hidden="1">
      <c r="A407" s="1122">
        <v>7131950009</v>
      </c>
      <c r="B407" s="1121" t="s">
        <v>1351</v>
      </c>
      <c r="C407" s="1122" t="s">
        <v>1553</v>
      </c>
      <c r="D407" s="1123" t="s">
        <v>918</v>
      </c>
      <c r="E407" s="1129" t="s">
        <v>566</v>
      </c>
      <c r="F407" s="1139"/>
    </row>
    <row r="408" spans="1:5" ht="41.25" customHeight="1">
      <c r="A408" s="1008">
        <v>7131950010</v>
      </c>
      <c r="B408" s="1011" t="s">
        <v>173</v>
      </c>
      <c r="C408" s="1008" t="s">
        <v>1553</v>
      </c>
      <c r="D408" s="1012">
        <v>1147</v>
      </c>
      <c r="E408" s="222" t="s">
        <v>567</v>
      </c>
    </row>
    <row r="409" spans="1:6" ht="19.5" customHeight="1" hidden="1">
      <c r="A409" s="1122">
        <v>7131950011</v>
      </c>
      <c r="B409" s="1121" t="s">
        <v>1352</v>
      </c>
      <c r="C409" s="1122" t="s">
        <v>1553</v>
      </c>
      <c r="D409" s="1123" t="s">
        <v>918</v>
      </c>
      <c r="E409" s="1129" t="s">
        <v>568</v>
      </c>
      <c r="F409" s="1139"/>
    </row>
    <row r="410" spans="1:5" ht="39.75" customHeight="1">
      <c r="A410" s="1008">
        <v>7131950012</v>
      </c>
      <c r="B410" s="1011" t="s">
        <v>1365</v>
      </c>
      <c r="C410" s="1008" t="s">
        <v>1553</v>
      </c>
      <c r="D410" s="1012">
        <v>1355</v>
      </c>
      <c r="E410" s="222" t="s">
        <v>569</v>
      </c>
    </row>
    <row r="411" spans="1:6" ht="15.75" customHeight="1" hidden="1">
      <c r="A411" s="1122">
        <v>7131950013</v>
      </c>
      <c r="B411" s="1121" t="s">
        <v>1353</v>
      </c>
      <c r="C411" s="1122" t="s">
        <v>1553</v>
      </c>
      <c r="D411" s="1123" t="s">
        <v>918</v>
      </c>
      <c r="E411" s="1129" t="s">
        <v>570</v>
      </c>
      <c r="F411" s="1139"/>
    </row>
    <row r="412" spans="1:5" ht="42" customHeight="1">
      <c r="A412" s="1015">
        <v>7131950015</v>
      </c>
      <c r="B412" s="1011" t="s">
        <v>127</v>
      </c>
      <c r="C412" s="1008" t="s">
        <v>1553</v>
      </c>
      <c r="D412" s="1012">
        <v>57208</v>
      </c>
      <c r="E412" s="222"/>
    </row>
    <row r="413" spans="1:5" ht="17.25" customHeight="1">
      <c r="A413" s="1015">
        <v>7131950016</v>
      </c>
      <c r="B413" s="1011" t="s">
        <v>1584</v>
      </c>
      <c r="C413" s="1008" t="s">
        <v>1553</v>
      </c>
      <c r="D413" s="1012">
        <v>345600</v>
      </c>
      <c r="E413" s="222"/>
    </row>
    <row r="414" spans="1:5" ht="42" customHeight="1">
      <c r="A414" s="1013">
        <v>7131950065</v>
      </c>
      <c r="B414" s="1011" t="s">
        <v>288</v>
      </c>
      <c r="C414" s="1008" t="s">
        <v>1553</v>
      </c>
      <c r="D414" s="1012">
        <v>13758</v>
      </c>
      <c r="E414" s="416" t="s">
        <v>571</v>
      </c>
    </row>
    <row r="415" spans="1:5" ht="40.5" customHeight="1">
      <c r="A415" s="1008">
        <v>7131950105</v>
      </c>
      <c r="B415" s="1011" t="s">
        <v>289</v>
      </c>
      <c r="C415" s="1008" t="s">
        <v>1553</v>
      </c>
      <c r="D415" s="1012">
        <v>17198</v>
      </c>
      <c r="E415" s="416" t="s">
        <v>572</v>
      </c>
    </row>
    <row r="416" spans="1:5" ht="29.25" customHeight="1">
      <c r="A416" s="1013">
        <v>7131950200</v>
      </c>
      <c r="B416" s="1011" t="s">
        <v>290</v>
      </c>
      <c r="C416" s="1008" t="s">
        <v>1553</v>
      </c>
      <c r="D416" s="1012">
        <v>34396</v>
      </c>
      <c r="E416" s="416" t="s">
        <v>573</v>
      </c>
    </row>
    <row r="417" spans="1:5" ht="29.25" customHeight="1">
      <c r="A417" s="1013">
        <v>7131950207</v>
      </c>
      <c r="B417" s="1011" t="s">
        <v>291</v>
      </c>
      <c r="C417" s="1008" t="s">
        <v>1553</v>
      </c>
      <c r="D417" s="1012">
        <v>45861</v>
      </c>
      <c r="E417" s="416" t="s">
        <v>574</v>
      </c>
    </row>
    <row r="418" spans="1:5" ht="29.25" customHeight="1">
      <c r="A418" s="1008">
        <v>7131960006</v>
      </c>
      <c r="B418" s="1032" t="s">
        <v>1583</v>
      </c>
      <c r="C418" s="1008" t="s">
        <v>1553</v>
      </c>
      <c r="D418" s="1012">
        <v>26078</v>
      </c>
      <c r="E418" s="416" t="s">
        <v>575</v>
      </c>
    </row>
    <row r="419" spans="1:5" ht="25.5">
      <c r="A419" s="1008">
        <v>7131960007</v>
      </c>
      <c r="B419" s="1032" t="s">
        <v>1582</v>
      </c>
      <c r="C419" s="1008" t="s">
        <v>1553</v>
      </c>
      <c r="D419" s="1012">
        <v>28850</v>
      </c>
      <c r="E419" s="416" t="s">
        <v>576</v>
      </c>
    </row>
    <row r="420" spans="1:5" ht="12.75">
      <c r="A420" s="1013">
        <v>7131960008</v>
      </c>
      <c r="B420" s="1011" t="s">
        <v>877</v>
      </c>
      <c r="C420" s="1008" t="s">
        <v>1553</v>
      </c>
      <c r="D420" s="1012">
        <v>26331</v>
      </c>
      <c r="E420" s="416" t="s">
        <v>577</v>
      </c>
    </row>
    <row r="421" spans="1:5" ht="12.75">
      <c r="A421" s="1008">
        <v>7131960009</v>
      </c>
      <c r="B421" s="1011" t="s">
        <v>878</v>
      </c>
      <c r="C421" s="1008" t="s">
        <v>1553</v>
      </c>
      <c r="D421" s="1012">
        <v>26995</v>
      </c>
      <c r="E421" s="416" t="s">
        <v>578</v>
      </c>
    </row>
    <row r="422" spans="1:5" ht="18.75" customHeight="1">
      <c r="A422" s="1008">
        <v>7131960520</v>
      </c>
      <c r="B422" s="1011" t="s">
        <v>879</v>
      </c>
      <c r="C422" s="1008" t="s">
        <v>1553</v>
      </c>
      <c r="D422" s="1012">
        <v>39700</v>
      </c>
      <c r="E422" s="416" t="s">
        <v>579</v>
      </c>
    </row>
    <row r="423" spans="1:5" ht="28.5" customHeight="1">
      <c r="A423" s="1008">
        <v>7131960522</v>
      </c>
      <c r="B423" s="1011" t="s">
        <v>880</v>
      </c>
      <c r="C423" s="1008" t="s">
        <v>1553</v>
      </c>
      <c r="D423" s="1012">
        <v>39815</v>
      </c>
      <c r="E423" s="416" t="s">
        <v>580</v>
      </c>
    </row>
    <row r="424" spans="1:5" ht="28.5" customHeight="1">
      <c r="A424" s="1008">
        <v>7131960524</v>
      </c>
      <c r="B424" s="1011" t="s">
        <v>1581</v>
      </c>
      <c r="C424" s="1008" t="s">
        <v>1553</v>
      </c>
      <c r="D424" s="1012">
        <v>39815</v>
      </c>
      <c r="E424" s="416" t="s">
        <v>581</v>
      </c>
    </row>
    <row r="425" spans="1:5" ht="44.25" customHeight="1">
      <c r="A425" s="1017">
        <v>7132002234</v>
      </c>
      <c r="B425" s="1016" t="s">
        <v>87</v>
      </c>
      <c r="C425" s="1000" t="s">
        <v>1230</v>
      </c>
      <c r="D425" s="1020">
        <v>184</v>
      </c>
      <c r="E425" s="416"/>
    </row>
    <row r="426" spans="1:5" ht="29.25" customHeight="1">
      <c r="A426" s="1017">
        <v>7132004003</v>
      </c>
      <c r="B426" s="1016" t="s">
        <v>76</v>
      </c>
      <c r="C426" s="1000" t="s">
        <v>1230</v>
      </c>
      <c r="D426" s="1020">
        <v>119</v>
      </c>
      <c r="E426" s="416"/>
    </row>
    <row r="427" spans="1:5" ht="15" customHeight="1">
      <c r="A427" s="1017">
        <v>7132004004</v>
      </c>
      <c r="B427" s="1016" t="s">
        <v>374</v>
      </c>
      <c r="C427" s="1000" t="s">
        <v>1230</v>
      </c>
      <c r="D427" s="1020">
        <v>10</v>
      </c>
      <c r="E427" s="416"/>
    </row>
    <row r="428" spans="1:5" ht="14.25" customHeight="1">
      <c r="A428" s="1031">
        <v>7132013331</v>
      </c>
      <c r="B428" s="1016" t="s">
        <v>79</v>
      </c>
      <c r="C428" s="1000" t="s">
        <v>1230</v>
      </c>
      <c r="D428" s="1012">
        <v>515</v>
      </c>
      <c r="E428" s="416" t="s">
        <v>582</v>
      </c>
    </row>
    <row r="429" spans="1:5" ht="16.5" customHeight="1">
      <c r="A429" s="1017">
        <v>7132014014</v>
      </c>
      <c r="B429" s="1016" t="s">
        <v>143</v>
      </c>
      <c r="C429" s="1000" t="s">
        <v>1230</v>
      </c>
      <c r="D429" s="1020">
        <v>2700</v>
      </c>
      <c r="E429" s="416"/>
    </row>
    <row r="430" spans="1:5" ht="20.25" customHeight="1">
      <c r="A430" s="1017">
        <v>7132028159</v>
      </c>
      <c r="B430" s="1016" t="s">
        <v>85</v>
      </c>
      <c r="C430" s="1000" t="s">
        <v>1230</v>
      </c>
      <c r="D430" s="1020">
        <v>989</v>
      </c>
      <c r="E430" s="416"/>
    </row>
    <row r="431" spans="1:5" ht="20.25" customHeight="1">
      <c r="A431" s="1017">
        <v>7132028160</v>
      </c>
      <c r="B431" s="1016" t="s">
        <v>86</v>
      </c>
      <c r="C431" s="1000" t="s">
        <v>1230</v>
      </c>
      <c r="D431" s="1020">
        <v>306</v>
      </c>
      <c r="E431" s="416"/>
    </row>
    <row r="432" spans="1:5" ht="17.25" customHeight="1">
      <c r="A432" s="1031">
        <v>7132061858</v>
      </c>
      <c r="B432" s="1016" t="s">
        <v>941</v>
      </c>
      <c r="C432" s="1000" t="s">
        <v>1230</v>
      </c>
      <c r="D432" s="1020">
        <v>204</v>
      </c>
      <c r="E432" s="416" t="s">
        <v>583</v>
      </c>
    </row>
    <row r="433" spans="1:5" ht="20.25" customHeight="1">
      <c r="A433" s="1017">
        <v>7132072006</v>
      </c>
      <c r="B433" s="1016" t="s">
        <v>82</v>
      </c>
      <c r="C433" s="1000" t="s">
        <v>1230</v>
      </c>
      <c r="D433" s="1020">
        <v>66</v>
      </c>
      <c r="E433" s="416" t="s">
        <v>584</v>
      </c>
    </row>
    <row r="434" spans="1:5" ht="20.25" customHeight="1">
      <c r="A434" s="1017">
        <v>7132072007</v>
      </c>
      <c r="B434" s="1016" t="s">
        <v>83</v>
      </c>
      <c r="C434" s="1000" t="s">
        <v>1230</v>
      </c>
      <c r="D434" s="1020">
        <v>62</v>
      </c>
      <c r="E434" s="416" t="s">
        <v>585</v>
      </c>
    </row>
    <row r="435" spans="1:5" ht="18.75" customHeight="1">
      <c r="A435" s="1017">
        <v>7132072008</v>
      </c>
      <c r="B435" s="1016" t="s">
        <v>84</v>
      </c>
      <c r="C435" s="1000" t="s">
        <v>1230</v>
      </c>
      <c r="D435" s="1020">
        <v>57</v>
      </c>
      <c r="E435" s="416" t="s">
        <v>58</v>
      </c>
    </row>
    <row r="436" spans="1:5" ht="16.5" customHeight="1">
      <c r="A436" s="1031">
        <v>7132072522</v>
      </c>
      <c r="B436" s="1016" t="s">
        <v>81</v>
      </c>
      <c r="C436" s="1000" t="s">
        <v>1230</v>
      </c>
      <c r="D436" s="1020">
        <v>743</v>
      </c>
      <c r="E436" s="416" t="s">
        <v>59</v>
      </c>
    </row>
    <row r="437" spans="1:5" ht="42.75" customHeight="1">
      <c r="A437" s="1017">
        <v>7132074032</v>
      </c>
      <c r="B437" s="1016" t="s">
        <v>883</v>
      </c>
      <c r="C437" s="1000" t="s">
        <v>238</v>
      </c>
      <c r="D437" s="1020">
        <v>1430</v>
      </c>
      <c r="E437" s="416" t="s">
        <v>60</v>
      </c>
    </row>
    <row r="438" spans="1:5" ht="15.75" customHeight="1">
      <c r="A438" s="1017">
        <v>7132074033</v>
      </c>
      <c r="B438" s="1016" t="s">
        <v>72</v>
      </c>
      <c r="C438" s="1000" t="s">
        <v>238</v>
      </c>
      <c r="D438" s="1020">
        <v>591</v>
      </c>
      <c r="E438" s="416"/>
    </row>
    <row r="439" spans="1:5" ht="42.75" customHeight="1">
      <c r="A439" s="1017">
        <v>7132074034</v>
      </c>
      <c r="B439" s="1016" t="s">
        <v>75</v>
      </c>
      <c r="C439" s="1000" t="s">
        <v>238</v>
      </c>
      <c r="D439" s="1020">
        <v>676</v>
      </c>
      <c r="E439" s="416" t="s">
        <v>61</v>
      </c>
    </row>
    <row r="440" spans="1:5" ht="27.75" customHeight="1">
      <c r="A440" s="1017">
        <v>7132074035</v>
      </c>
      <c r="B440" s="1016" t="s">
        <v>1634</v>
      </c>
      <c r="C440" s="1000" t="s">
        <v>1230</v>
      </c>
      <c r="D440" s="1020">
        <v>439</v>
      </c>
      <c r="E440" s="416"/>
    </row>
    <row r="441" spans="1:5" ht="28.5" customHeight="1">
      <c r="A441" s="1017">
        <v>7132074036</v>
      </c>
      <c r="B441" s="1016" t="s">
        <v>88</v>
      </c>
      <c r="C441" s="1000" t="s">
        <v>238</v>
      </c>
      <c r="D441" s="1020">
        <v>1303</v>
      </c>
      <c r="E441" s="416" t="s">
        <v>62</v>
      </c>
    </row>
    <row r="442" spans="1:5" ht="16.5" customHeight="1">
      <c r="A442" s="1017">
        <v>7132088614</v>
      </c>
      <c r="B442" s="1016" t="s">
        <v>73</v>
      </c>
      <c r="C442" s="1000" t="s">
        <v>1230</v>
      </c>
      <c r="D442" s="1020">
        <v>1086</v>
      </c>
      <c r="E442" s="416"/>
    </row>
    <row r="443" spans="1:5" ht="15.75" customHeight="1">
      <c r="A443" s="1017">
        <v>7132088615</v>
      </c>
      <c r="B443" s="1016" t="s">
        <v>74</v>
      </c>
      <c r="C443" s="1000" t="s">
        <v>1230</v>
      </c>
      <c r="D443" s="1020">
        <v>596</v>
      </c>
      <c r="E443" s="416"/>
    </row>
    <row r="444" spans="1:5" ht="40.5" customHeight="1">
      <c r="A444" s="1015">
        <v>7132200014</v>
      </c>
      <c r="B444" s="1011" t="s">
        <v>1612</v>
      </c>
      <c r="C444" s="1008" t="s">
        <v>1553</v>
      </c>
      <c r="D444" s="1025">
        <v>135369</v>
      </c>
      <c r="E444" s="416" t="s">
        <v>63</v>
      </c>
    </row>
    <row r="445" spans="1:5" ht="19.5" customHeight="1">
      <c r="A445" s="1008">
        <v>7132200812</v>
      </c>
      <c r="B445" s="1011" t="s">
        <v>1608</v>
      </c>
      <c r="C445" s="1008" t="s">
        <v>1553</v>
      </c>
      <c r="D445" s="1012">
        <v>1628</v>
      </c>
      <c r="E445" s="416" t="s">
        <v>64</v>
      </c>
    </row>
    <row r="446" spans="1:5" ht="19.5" customHeight="1">
      <c r="A446" s="1008">
        <v>7132200813</v>
      </c>
      <c r="B446" s="1003" t="s">
        <v>1609</v>
      </c>
      <c r="C446" s="1008" t="s">
        <v>1553</v>
      </c>
      <c r="D446" s="1012">
        <v>3254</v>
      </c>
      <c r="E446" s="416" t="s">
        <v>64</v>
      </c>
    </row>
    <row r="447" spans="1:5" ht="19.5" customHeight="1">
      <c r="A447" s="1008">
        <v>7132200814</v>
      </c>
      <c r="B447" s="1003" t="s">
        <v>1610</v>
      </c>
      <c r="C447" s="1008" t="s">
        <v>1553</v>
      </c>
      <c r="D447" s="1012">
        <v>3910</v>
      </c>
      <c r="E447" s="416" t="s">
        <v>64</v>
      </c>
    </row>
    <row r="448" spans="1:5" ht="19.5" customHeight="1">
      <c r="A448" s="1008">
        <v>7132200815</v>
      </c>
      <c r="B448" s="1003" t="s">
        <v>1611</v>
      </c>
      <c r="C448" s="1008" t="s">
        <v>1553</v>
      </c>
      <c r="D448" s="1012">
        <v>6490</v>
      </c>
      <c r="E448" s="416" t="s">
        <v>64</v>
      </c>
    </row>
    <row r="449" spans="1:5" ht="119.25" customHeight="1">
      <c r="A449" s="1013">
        <v>7132200826</v>
      </c>
      <c r="B449" s="1011" t="s">
        <v>1613</v>
      </c>
      <c r="C449" s="1008" t="s">
        <v>1553</v>
      </c>
      <c r="D449" s="1025">
        <v>179001</v>
      </c>
      <c r="E449" s="416" t="s">
        <v>65</v>
      </c>
    </row>
    <row r="450" spans="1:7" ht="18" customHeight="1">
      <c r="A450" s="1000">
        <v>7132210007</v>
      </c>
      <c r="B450" s="1011" t="s">
        <v>1554</v>
      </c>
      <c r="C450" s="1008" t="s">
        <v>1553</v>
      </c>
      <c r="D450" s="1020">
        <v>44836</v>
      </c>
      <c r="E450" s="416" t="s">
        <v>66</v>
      </c>
      <c r="F450" s="109"/>
      <c r="G450" s="109"/>
    </row>
    <row r="451" spans="1:7" ht="15.75" customHeight="1">
      <c r="A451" s="1000">
        <v>7132210008</v>
      </c>
      <c r="B451" s="1011" t="s">
        <v>1555</v>
      </c>
      <c r="C451" s="1008" t="s">
        <v>1553</v>
      </c>
      <c r="D451" s="1020">
        <v>54268</v>
      </c>
      <c r="E451" s="416" t="s">
        <v>67</v>
      </c>
      <c r="F451" s="109"/>
      <c r="G451" s="109"/>
    </row>
    <row r="452" spans="1:7" ht="18" customHeight="1">
      <c r="A452" s="1000">
        <v>7132210009</v>
      </c>
      <c r="B452" s="1011" t="s">
        <v>1556</v>
      </c>
      <c r="C452" s="1008" t="s">
        <v>1553</v>
      </c>
      <c r="D452" s="1012">
        <v>88254</v>
      </c>
      <c r="E452" s="416" t="s">
        <v>68</v>
      </c>
      <c r="F452" s="98"/>
      <c r="G452" s="98"/>
    </row>
    <row r="453" spans="1:11" ht="19.5" customHeight="1" hidden="1">
      <c r="A453" s="1041">
        <v>7132210009</v>
      </c>
      <c r="B453" s="1042" t="s">
        <v>1556</v>
      </c>
      <c r="C453" s="1043" t="s">
        <v>1553</v>
      </c>
      <c r="D453" s="1044" t="s">
        <v>1034</v>
      </c>
      <c r="E453" s="1045" t="s">
        <v>68</v>
      </c>
      <c r="I453" s="1040"/>
      <c r="J453" s="1040"/>
      <c r="K453" s="1040"/>
    </row>
    <row r="454" spans="1:7" ht="16.5" customHeight="1">
      <c r="A454" s="1000">
        <v>7132210010</v>
      </c>
      <c r="B454" s="1011" t="s">
        <v>1557</v>
      </c>
      <c r="C454" s="1008" t="s">
        <v>1553</v>
      </c>
      <c r="D454" s="1020">
        <v>119054</v>
      </c>
      <c r="E454" s="416" t="s">
        <v>69</v>
      </c>
      <c r="F454" s="98"/>
      <c r="G454" s="98"/>
    </row>
    <row r="455" spans="1:7" ht="18" customHeight="1">
      <c r="A455" s="1000">
        <v>7132210011</v>
      </c>
      <c r="B455" s="1011" t="s">
        <v>1558</v>
      </c>
      <c r="C455" s="1008" t="s">
        <v>1553</v>
      </c>
      <c r="D455" s="1020">
        <v>220748</v>
      </c>
      <c r="E455" s="416" t="s">
        <v>70</v>
      </c>
      <c r="F455" s="98"/>
      <c r="G455" s="98"/>
    </row>
    <row r="456" spans="1:7" ht="16.5" customHeight="1">
      <c r="A456" s="1000">
        <v>7132210012</v>
      </c>
      <c r="B456" s="1011" t="s">
        <v>1569</v>
      </c>
      <c r="C456" s="1008" t="s">
        <v>1553</v>
      </c>
      <c r="D456" s="1020">
        <v>423239</v>
      </c>
      <c r="E456" s="416" t="s">
        <v>71</v>
      </c>
      <c r="F456" s="98"/>
      <c r="G456" s="98"/>
    </row>
    <row r="457" spans="1:7" ht="18" customHeight="1">
      <c r="A457" s="1008">
        <v>7132210077</v>
      </c>
      <c r="B457" s="1011" t="s">
        <v>1571</v>
      </c>
      <c r="C457" s="1008" t="s">
        <v>1553</v>
      </c>
      <c r="D457" s="1020">
        <v>25351</v>
      </c>
      <c r="E457" s="416" t="s">
        <v>940</v>
      </c>
      <c r="F457" s="98"/>
      <c r="G457" s="98"/>
    </row>
    <row r="458" spans="1:7" ht="18" customHeight="1">
      <c r="A458" s="1008">
        <v>7132210078</v>
      </c>
      <c r="B458" s="1011" t="s">
        <v>1572</v>
      </c>
      <c r="C458" s="1008" t="s">
        <v>1553</v>
      </c>
      <c r="D458" s="1020">
        <v>36194</v>
      </c>
      <c r="E458" s="416" t="s">
        <v>720</v>
      </c>
      <c r="F458" s="98"/>
      <c r="G458" s="98"/>
    </row>
    <row r="459" spans="1:7" ht="15" customHeight="1" hidden="1">
      <c r="A459" s="1120">
        <v>7132210079</v>
      </c>
      <c r="B459" s="1121" t="s">
        <v>1559</v>
      </c>
      <c r="C459" s="1122" t="s">
        <v>1553</v>
      </c>
      <c r="D459" s="1123" t="s">
        <v>918</v>
      </c>
      <c r="E459" s="1124" t="s">
        <v>721</v>
      </c>
      <c r="F459" s="1123"/>
      <c r="G459" s="98"/>
    </row>
    <row r="460" spans="1:6" ht="25.5" hidden="1">
      <c r="A460" s="1120">
        <v>7132210107</v>
      </c>
      <c r="B460" s="1125" t="s">
        <v>1616</v>
      </c>
      <c r="C460" s="1120" t="s">
        <v>452</v>
      </c>
      <c r="D460" s="1123" t="s">
        <v>918</v>
      </c>
      <c r="E460" s="1124" t="s">
        <v>722</v>
      </c>
      <c r="F460" s="1123"/>
    </row>
    <row r="461" spans="1:7" ht="14.25" hidden="1">
      <c r="A461" s="1126">
        <v>7132210108</v>
      </c>
      <c r="B461" s="1127" t="s">
        <v>1560</v>
      </c>
      <c r="C461" s="1128" t="s">
        <v>1553</v>
      </c>
      <c r="D461" s="1123" t="s">
        <v>918</v>
      </c>
      <c r="E461" s="1129" t="s">
        <v>723</v>
      </c>
      <c r="F461" s="1123"/>
      <c r="G461" s="98"/>
    </row>
    <row r="462" spans="1:7" ht="14.25" hidden="1">
      <c r="A462" s="1126">
        <v>7132210109</v>
      </c>
      <c r="B462" s="1127" t="s">
        <v>1564</v>
      </c>
      <c r="C462" s="1128" t="s">
        <v>1553</v>
      </c>
      <c r="D462" s="1123" t="s">
        <v>918</v>
      </c>
      <c r="E462" s="1129" t="s">
        <v>724</v>
      </c>
      <c r="F462" s="1123"/>
      <c r="G462" s="98"/>
    </row>
    <row r="463" spans="1:7" ht="14.25" hidden="1">
      <c r="A463" s="1126">
        <v>7132210116</v>
      </c>
      <c r="B463" s="1127" t="s">
        <v>1561</v>
      </c>
      <c r="C463" s="1128" t="s">
        <v>1553</v>
      </c>
      <c r="D463" s="1123" t="s">
        <v>918</v>
      </c>
      <c r="E463" s="1129" t="s">
        <v>725</v>
      </c>
      <c r="F463" s="1123"/>
      <c r="G463" s="98"/>
    </row>
    <row r="464" spans="1:7" ht="14.25" hidden="1">
      <c r="A464" s="1126">
        <v>7132210117</v>
      </c>
      <c r="B464" s="1127" t="s">
        <v>1562</v>
      </c>
      <c r="C464" s="1128" t="s">
        <v>1553</v>
      </c>
      <c r="D464" s="1123" t="s">
        <v>918</v>
      </c>
      <c r="E464" s="1129" t="s">
        <v>726</v>
      </c>
      <c r="F464" s="1123"/>
      <c r="G464" s="98"/>
    </row>
    <row r="465" spans="1:7" ht="14.25" hidden="1">
      <c r="A465" s="1126">
        <v>7132210118</v>
      </c>
      <c r="B465" s="1127" t="s">
        <v>1567</v>
      </c>
      <c r="C465" s="1128" t="s">
        <v>1553</v>
      </c>
      <c r="D465" s="1123" t="s">
        <v>918</v>
      </c>
      <c r="E465" s="1129" t="s">
        <v>727</v>
      </c>
      <c r="F465" s="1123"/>
      <c r="G465" s="98"/>
    </row>
    <row r="466" spans="1:7" ht="14.25" hidden="1">
      <c r="A466" s="1126">
        <v>7132210120</v>
      </c>
      <c r="B466" s="1127" t="s">
        <v>1563</v>
      </c>
      <c r="C466" s="1128" t="s">
        <v>1553</v>
      </c>
      <c r="D466" s="1123" t="s">
        <v>918</v>
      </c>
      <c r="E466" s="1129" t="s">
        <v>728</v>
      </c>
      <c r="F466" s="1123"/>
      <c r="G466" s="98"/>
    </row>
    <row r="467" spans="1:7" ht="14.25" hidden="1">
      <c r="A467" s="1126">
        <v>7132210125</v>
      </c>
      <c r="B467" s="1127" t="s">
        <v>1568</v>
      </c>
      <c r="C467" s="1128" t="s">
        <v>1553</v>
      </c>
      <c r="D467" s="1123" t="s">
        <v>918</v>
      </c>
      <c r="E467" s="1129" t="s">
        <v>729</v>
      </c>
      <c r="F467" s="1123"/>
      <c r="G467" s="98"/>
    </row>
    <row r="468" spans="1:7" ht="14.25">
      <c r="A468" s="1002">
        <v>7132210127</v>
      </c>
      <c r="B468" s="1003" t="s">
        <v>1570</v>
      </c>
      <c r="C468" s="1004" t="s">
        <v>1553</v>
      </c>
      <c r="D468" s="1005">
        <v>538012</v>
      </c>
      <c r="E468" s="222" t="s">
        <v>730</v>
      </c>
      <c r="F468" s="98"/>
      <c r="G468" s="98"/>
    </row>
    <row r="469" spans="1:7" ht="14.25">
      <c r="A469" s="1004">
        <v>7132210215</v>
      </c>
      <c r="B469" s="1003" t="s">
        <v>1573</v>
      </c>
      <c r="C469" s="1004" t="s">
        <v>1553</v>
      </c>
      <c r="D469" s="1006">
        <v>146905</v>
      </c>
      <c r="E469" s="222" t="s">
        <v>731</v>
      </c>
      <c r="F469" s="98"/>
      <c r="G469" s="98"/>
    </row>
    <row r="470" spans="1:7" ht="15.75" customHeight="1" hidden="1">
      <c r="A470" s="1120">
        <v>7132210231</v>
      </c>
      <c r="B470" s="1121" t="s">
        <v>1565</v>
      </c>
      <c r="C470" s="1122" t="s">
        <v>1553</v>
      </c>
      <c r="D470" s="1123" t="s">
        <v>918</v>
      </c>
      <c r="E470" s="1124" t="s">
        <v>732</v>
      </c>
      <c r="F470" s="1123"/>
      <c r="G470" s="98"/>
    </row>
    <row r="471" spans="1:7" ht="14.25" hidden="1">
      <c r="A471" s="1120">
        <v>7132210234</v>
      </c>
      <c r="B471" s="1121" t="s">
        <v>1566</v>
      </c>
      <c r="C471" s="1122" t="s">
        <v>1553</v>
      </c>
      <c r="D471" s="1123" t="s">
        <v>918</v>
      </c>
      <c r="E471" s="1124" t="s">
        <v>733</v>
      </c>
      <c r="F471" s="1123"/>
      <c r="G471" s="98"/>
    </row>
    <row r="472" spans="1:5" ht="12.75">
      <c r="A472" s="1013">
        <v>7132220091</v>
      </c>
      <c r="B472" s="1011" t="s">
        <v>279</v>
      </c>
      <c r="C472" s="1008" t="s">
        <v>1553</v>
      </c>
      <c r="D472" s="1025">
        <v>841136</v>
      </c>
      <c r="E472" s="416" t="s">
        <v>734</v>
      </c>
    </row>
    <row r="473" spans="1:5" ht="12.75">
      <c r="A473" s="1013">
        <v>7132220095</v>
      </c>
      <c r="B473" s="1011" t="s">
        <v>1635</v>
      </c>
      <c r="C473" s="1008" t="s">
        <v>1553</v>
      </c>
      <c r="D473" s="1012">
        <v>2112952</v>
      </c>
      <c r="E473" s="416" t="s">
        <v>735</v>
      </c>
    </row>
    <row r="474" spans="1:5" ht="16.5" customHeight="1">
      <c r="A474" s="1013">
        <v>7132220097</v>
      </c>
      <c r="B474" s="1011" t="s">
        <v>1636</v>
      </c>
      <c r="C474" s="1008" t="s">
        <v>1553</v>
      </c>
      <c r="D474" s="1012">
        <v>3010759</v>
      </c>
      <c r="E474" s="416" t="s">
        <v>736</v>
      </c>
    </row>
    <row r="475" spans="1:5" ht="25.5">
      <c r="A475" s="1018">
        <v>7132230015</v>
      </c>
      <c r="B475" s="1011" t="s">
        <v>1637</v>
      </c>
      <c r="C475" s="1008" t="s">
        <v>1553</v>
      </c>
      <c r="D475" s="1012">
        <v>241090</v>
      </c>
      <c r="E475" s="416" t="s">
        <v>737</v>
      </c>
    </row>
    <row r="476" spans="1:5" ht="12.75">
      <c r="A476" s="1013">
        <v>7132230016</v>
      </c>
      <c r="B476" s="1011" t="s">
        <v>1638</v>
      </c>
      <c r="C476" s="1008" t="s">
        <v>1553</v>
      </c>
      <c r="D476" s="1012">
        <v>335</v>
      </c>
      <c r="E476" s="416" t="s">
        <v>738</v>
      </c>
    </row>
    <row r="477" spans="1:5" ht="25.5">
      <c r="A477" s="1018">
        <v>7132230017</v>
      </c>
      <c r="B477" s="1011" t="s">
        <v>31</v>
      </c>
      <c r="C477" s="1008" t="s">
        <v>1553</v>
      </c>
      <c r="D477" s="1012">
        <v>222386</v>
      </c>
      <c r="E477" s="416" t="s">
        <v>739</v>
      </c>
    </row>
    <row r="478" spans="1:5" ht="12.75" customHeight="1">
      <c r="A478" s="1013">
        <v>7132230019</v>
      </c>
      <c r="B478" s="1011" t="s">
        <v>1639</v>
      </c>
      <c r="C478" s="1008" t="s">
        <v>1553</v>
      </c>
      <c r="D478" s="1012">
        <v>335</v>
      </c>
      <c r="E478" s="416" t="s">
        <v>740</v>
      </c>
    </row>
    <row r="479" spans="1:5" ht="12.75">
      <c r="A479" s="1013">
        <v>7132230021</v>
      </c>
      <c r="B479" s="1011" t="s">
        <v>1640</v>
      </c>
      <c r="C479" s="1008" t="s">
        <v>1553</v>
      </c>
      <c r="D479" s="1012">
        <v>268</v>
      </c>
      <c r="E479" s="416" t="s">
        <v>741</v>
      </c>
    </row>
    <row r="480" spans="1:5" ht="12.75">
      <c r="A480" s="1013">
        <v>7132230024</v>
      </c>
      <c r="B480" s="1011" t="s">
        <v>1641</v>
      </c>
      <c r="C480" s="1008" t="s">
        <v>1553</v>
      </c>
      <c r="D480" s="1012">
        <v>268</v>
      </c>
      <c r="E480" s="416" t="s">
        <v>742</v>
      </c>
    </row>
    <row r="481" spans="1:5" ht="12.75">
      <c r="A481" s="1008">
        <v>7132230039</v>
      </c>
      <c r="B481" s="1016" t="s">
        <v>1642</v>
      </c>
      <c r="C481" s="1008" t="s">
        <v>803</v>
      </c>
      <c r="D481" s="1012">
        <v>460044</v>
      </c>
      <c r="E481" s="416" t="s">
        <v>743</v>
      </c>
    </row>
    <row r="482" spans="1:5" ht="25.5">
      <c r="A482" s="1008">
        <v>7132230043</v>
      </c>
      <c r="B482" s="1011" t="s">
        <v>1628</v>
      </c>
      <c r="C482" s="1008" t="s">
        <v>1553</v>
      </c>
      <c r="D482" s="1025">
        <v>18227</v>
      </c>
      <c r="E482" s="416" t="s">
        <v>744</v>
      </c>
    </row>
    <row r="483" spans="1:5" ht="12.75">
      <c r="A483" s="1004">
        <v>7132230065</v>
      </c>
      <c r="B483" s="1019" t="s">
        <v>1643</v>
      </c>
      <c r="C483" s="1004" t="s">
        <v>803</v>
      </c>
      <c r="D483" s="1006">
        <v>290795</v>
      </c>
      <c r="E483" s="222" t="s">
        <v>745</v>
      </c>
    </row>
    <row r="484" spans="1:5" ht="12.75">
      <c r="A484" s="1004">
        <v>7132230075</v>
      </c>
      <c r="B484" s="1019" t="s">
        <v>1644</v>
      </c>
      <c r="C484" s="1004" t="s">
        <v>803</v>
      </c>
      <c r="D484" s="1006">
        <v>331734</v>
      </c>
      <c r="E484" s="222" t="s">
        <v>757</v>
      </c>
    </row>
    <row r="485" spans="1:5" ht="12.75">
      <c r="A485" s="1004">
        <v>7132230076</v>
      </c>
      <c r="B485" s="1019" t="s">
        <v>1645</v>
      </c>
      <c r="C485" s="1004" t="s">
        <v>803</v>
      </c>
      <c r="D485" s="1006">
        <v>735218</v>
      </c>
      <c r="E485" s="222" t="s">
        <v>758</v>
      </c>
    </row>
    <row r="486" spans="1:5" ht="12.75">
      <c r="A486" s="1004">
        <v>7132230077</v>
      </c>
      <c r="B486" s="1019" t="s">
        <v>1646</v>
      </c>
      <c r="C486" s="1004" t="s">
        <v>803</v>
      </c>
      <c r="D486" s="1006">
        <v>484141</v>
      </c>
      <c r="E486" s="222" t="s">
        <v>759</v>
      </c>
    </row>
    <row r="487" spans="1:5" ht="12.75">
      <c r="A487" s="1004">
        <v>7132230078</v>
      </c>
      <c r="B487" s="1019" t="s">
        <v>1647</v>
      </c>
      <c r="C487" s="1004" t="s">
        <v>803</v>
      </c>
      <c r="D487" s="1006">
        <v>448513</v>
      </c>
      <c r="E487" s="222" t="s">
        <v>760</v>
      </c>
    </row>
    <row r="488" spans="1:5" ht="12.75">
      <c r="A488" s="1015">
        <v>7132230088</v>
      </c>
      <c r="B488" s="1011" t="s">
        <v>1648</v>
      </c>
      <c r="C488" s="1008" t="s">
        <v>1553</v>
      </c>
      <c r="D488" s="1012">
        <v>30290</v>
      </c>
      <c r="E488" s="222"/>
    </row>
    <row r="489" spans="1:5" ht="12.75">
      <c r="A489" s="1015">
        <v>7132230089</v>
      </c>
      <c r="B489" s="1011" t="s">
        <v>1649</v>
      </c>
      <c r="C489" s="1008" t="s">
        <v>1553</v>
      </c>
      <c r="D489" s="1012">
        <v>67155</v>
      </c>
      <c r="E489" s="222" t="s">
        <v>761</v>
      </c>
    </row>
    <row r="490" spans="1:5" ht="15" customHeight="1">
      <c r="A490" s="1013">
        <v>7132230185</v>
      </c>
      <c r="B490" s="1011" t="s">
        <v>1650</v>
      </c>
      <c r="C490" s="1008" t="s">
        <v>1553</v>
      </c>
      <c r="D490" s="1012">
        <v>8903</v>
      </c>
      <c r="E490" s="416" t="s">
        <v>762</v>
      </c>
    </row>
    <row r="491" spans="1:5" ht="15" customHeight="1">
      <c r="A491" s="1013">
        <v>7132230188</v>
      </c>
      <c r="B491" s="1011" t="s">
        <v>1651</v>
      </c>
      <c r="C491" s="1008" t="s">
        <v>1553</v>
      </c>
      <c r="D491" s="1012">
        <v>8903</v>
      </c>
      <c r="E491" s="416" t="s">
        <v>749</v>
      </c>
    </row>
    <row r="492" spans="1:5" ht="15.75" customHeight="1">
      <c r="A492" s="1013">
        <v>7132230263</v>
      </c>
      <c r="B492" s="1011" t="s">
        <v>1629</v>
      </c>
      <c r="C492" s="1008" t="s">
        <v>1553</v>
      </c>
      <c r="D492" s="1012">
        <v>18948</v>
      </c>
      <c r="E492" s="416" t="s">
        <v>750</v>
      </c>
    </row>
    <row r="493" spans="1:5" ht="12.75" customHeight="1">
      <c r="A493" s="1013">
        <v>7132230265</v>
      </c>
      <c r="B493" s="1011" t="s">
        <v>1630</v>
      </c>
      <c r="C493" s="1008" t="s">
        <v>1553</v>
      </c>
      <c r="D493" s="1012">
        <v>16868</v>
      </c>
      <c r="E493" s="416" t="s">
        <v>751</v>
      </c>
    </row>
    <row r="494" spans="1:5" ht="13.5" customHeight="1">
      <c r="A494" s="1013">
        <v>7132230304</v>
      </c>
      <c r="B494" s="1011" t="s">
        <v>1631</v>
      </c>
      <c r="C494" s="1008" t="s">
        <v>1553</v>
      </c>
      <c r="D494" s="1025">
        <v>16544</v>
      </c>
      <c r="E494" s="416" t="s">
        <v>1204</v>
      </c>
    </row>
    <row r="495" spans="1:5" ht="12.75">
      <c r="A495" s="1004">
        <v>7132230330</v>
      </c>
      <c r="B495" s="1019" t="s">
        <v>1652</v>
      </c>
      <c r="C495" s="1004" t="s">
        <v>803</v>
      </c>
      <c r="D495" s="1006">
        <v>328366</v>
      </c>
      <c r="E495" s="416" t="s">
        <v>694</v>
      </c>
    </row>
    <row r="496" spans="1:5" ht="12.75">
      <c r="A496" s="1004">
        <v>7132230332</v>
      </c>
      <c r="B496" s="1019" t="s">
        <v>1653</v>
      </c>
      <c r="C496" s="1004" t="s">
        <v>803</v>
      </c>
      <c r="D496" s="1006">
        <v>304009</v>
      </c>
      <c r="E496" s="416" t="s">
        <v>695</v>
      </c>
    </row>
    <row r="497" spans="1:5" ht="12.75">
      <c r="A497" s="1004">
        <v>7132230336</v>
      </c>
      <c r="B497" s="1019" t="s">
        <v>1654</v>
      </c>
      <c r="C497" s="1004" t="s">
        <v>803</v>
      </c>
      <c r="D497" s="1006">
        <v>266309</v>
      </c>
      <c r="E497" s="416" t="s">
        <v>696</v>
      </c>
    </row>
    <row r="498" spans="1:5" ht="12.75">
      <c r="A498" s="1013">
        <v>7132230394</v>
      </c>
      <c r="B498" s="1011" t="s">
        <v>1655</v>
      </c>
      <c r="C498" s="1008" t="s">
        <v>1553</v>
      </c>
      <c r="D498" s="1012">
        <v>35395</v>
      </c>
      <c r="E498" s="416" t="s">
        <v>697</v>
      </c>
    </row>
    <row r="499" spans="1:5" ht="12.75">
      <c r="A499" s="1008">
        <v>7132230395</v>
      </c>
      <c r="B499" s="1011" t="s">
        <v>1656</v>
      </c>
      <c r="C499" s="1008" t="s">
        <v>1553</v>
      </c>
      <c r="D499" s="1012">
        <v>31841</v>
      </c>
      <c r="E499" s="416" t="s">
        <v>698</v>
      </c>
    </row>
    <row r="500" spans="1:5" ht="12.75">
      <c r="A500" s="1013">
        <v>7132230396</v>
      </c>
      <c r="B500" s="1011" t="s">
        <v>1657</v>
      </c>
      <c r="C500" s="1008" t="s">
        <v>1553</v>
      </c>
      <c r="D500" s="1012">
        <v>31131</v>
      </c>
      <c r="E500" s="416" t="s">
        <v>699</v>
      </c>
    </row>
    <row r="501" spans="1:5" ht="12.75">
      <c r="A501" s="1013">
        <v>7132230399</v>
      </c>
      <c r="B501" s="1011" t="s">
        <v>1658</v>
      </c>
      <c r="C501" s="1008" t="s">
        <v>1553</v>
      </c>
      <c r="D501" s="1012">
        <v>30287</v>
      </c>
      <c r="E501" s="416" t="s">
        <v>700</v>
      </c>
    </row>
    <row r="502" spans="1:5" ht="12.75">
      <c r="A502" s="1013">
        <v>7132230401</v>
      </c>
      <c r="B502" s="1011" t="s">
        <v>1659</v>
      </c>
      <c r="C502" s="1008" t="s">
        <v>1553</v>
      </c>
      <c r="D502" s="1012">
        <v>30894</v>
      </c>
      <c r="E502" s="416" t="s">
        <v>701</v>
      </c>
    </row>
    <row r="503" spans="1:5" ht="12.75">
      <c r="A503" s="1013">
        <v>7132230406</v>
      </c>
      <c r="B503" s="1011" t="s">
        <v>1660</v>
      </c>
      <c r="C503" s="1008" t="s">
        <v>1553</v>
      </c>
      <c r="D503" s="1012">
        <v>30894</v>
      </c>
      <c r="E503" s="416" t="s">
        <v>702</v>
      </c>
    </row>
    <row r="504" spans="1:5" ht="12.75">
      <c r="A504" s="1013">
        <v>7132230412</v>
      </c>
      <c r="B504" s="1011" t="s">
        <v>1066</v>
      </c>
      <c r="C504" s="1008" t="s">
        <v>1553</v>
      </c>
      <c r="D504" s="1012">
        <v>29949</v>
      </c>
      <c r="E504" s="416" t="s">
        <v>703</v>
      </c>
    </row>
    <row r="505" spans="1:5" ht="12.75">
      <c r="A505" s="1013">
        <v>7132230414</v>
      </c>
      <c r="B505" s="1011" t="s">
        <v>1661</v>
      </c>
      <c r="C505" s="1008" t="s">
        <v>1553</v>
      </c>
      <c r="D505" s="1012">
        <v>30894</v>
      </c>
      <c r="E505" s="416" t="s">
        <v>704</v>
      </c>
    </row>
    <row r="506" spans="1:5" ht="12.75">
      <c r="A506" s="1013">
        <v>7132230418</v>
      </c>
      <c r="B506" s="1011" t="s">
        <v>1662</v>
      </c>
      <c r="C506" s="1008" t="s">
        <v>1553</v>
      </c>
      <c r="D506" s="1012">
        <v>64768</v>
      </c>
      <c r="E506" s="416" t="s">
        <v>705</v>
      </c>
    </row>
    <row r="507" spans="1:5" ht="12.75">
      <c r="A507" s="1013">
        <v>7132230427</v>
      </c>
      <c r="B507" s="1011" t="s">
        <v>1065</v>
      </c>
      <c r="C507" s="1008" t="s">
        <v>1553</v>
      </c>
      <c r="D507" s="1012">
        <v>64587</v>
      </c>
      <c r="E507" s="416" t="s">
        <v>706</v>
      </c>
    </row>
    <row r="508" spans="1:5" ht="12.75">
      <c r="A508" s="1013">
        <v>7132230447</v>
      </c>
      <c r="B508" s="1011" t="s">
        <v>1663</v>
      </c>
      <c r="C508" s="1008" t="s">
        <v>1553</v>
      </c>
      <c r="D508" s="1012">
        <v>77029</v>
      </c>
      <c r="E508" s="416" t="s">
        <v>707</v>
      </c>
    </row>
    <row r="509" spans="1:5" ht="12.75">
      <c r="A509" s="1013">
        <v>7132230448</v>
      </c>
      <c r="B509" s="1011" t="s">
        <v>22</v>
      </c>
      <c r="C509" s="1008" t="s">
        <v>1553</v>
      </c>
      <c r="D509" s="1012">
        <v>64768</v>
      </c>
      <c r="E509" s="416" t="s">
        <v>708</v>
      </c>
    </row>
    <row r="510" spans="1:5" ht="12.75">
      <c r="A510" s="1013">
        <v>7132230449</v>
      </c>
      <c r="B510" s="1011" t="s">
        <v>23</v>
      </c>
      <c r="C510" s="1008" t="s">
        <v>1553</v>
      </c>
      <c r="D510" s="1012">
        <v>64768</v>
      </c>
      <c r="E510" s="416" t="s">
        <v>709</v>
      </c>
    </row>
    <row r="511" spans="1:5" ht="12.75">
      <c r="A511" s="1013">
        <v>7132230450</v>
      </c>
      <c r="B511" s="1011" t="s">
        <v>24</v>
      </c>
      <c r="C511" s="1008" t="s">
        <v>1553</v>
      </c>
      <c r="D511" s="1012">
        <v>66527</v>
      </c>
      <c r="E511" s="416" t="s">
        <v>710</v>
      </c>
    </row>
    <row r="512" spans="1:5" ht="12.75">
      <c r="A512" s="1013">
        <v>7132230453</v>
      </c>
      <c r="B512" s="1011" t="s">
        <v>25</v>
      </c>
      <c r="C512" s="1008" t="s">
        <v>1553</v>
      </c>
      <c r="D512" s="1012">
        <v>66527</v>
      </c>
      <c r="E512" s="416" t="s">
        <v>711</v>
      </c>
    </row>
    <row r="513" spans="1:5" ht="14.25" customHeight="1">
      <c r="A513" s="1013">
        <v>7132230455</v>
      </c>
      <c r="B513" s="1016" t="s">
        <v>26</v>
      </c>
      <c r="C513" s="1008" t="s">
        <v>1553</v>
      </c>
      <c r="D513" s="1012">
        <v>64768</v>
      </c>
      <c r="E513" s="416" t="s">
        <v>1514</v>
      </c>
    </row>
    <row r="514" spans="1:5" ht="12.75">
      <c r="A514" s="1008">
        <v>7132230457</v>
      </c>
      <c r="B514" s="1011" t="s">
        <v>27</v>
      </c>
      <c r="C514" s="1008" t="s">
        <v>1553</v>
      </c>
      <c r="D514" s="1012">
        <v>66145</v>
      </c>
      <c r="E514" s="416" t="s">
        <v>1515</v>
      </c>
    </row>
    <row r="515" spans="1:9" ht="25.5">
      <c r="A515" s="1013">
        <v>7132230056</v>
      </c>
      <c r="B515" s="1011" t="s">
        <v>1632</v>
      </c>
      <c r="C515" s="1008" t="s">
        <v>1553</v>
      </c>
      <c r="D515" s="1012">
        <v>8903</v>
      </c>
      <c r="E515" s="416" t="s">
        <v>1516</v>
      </c>
      <c r="I515" s="1008" t="s">
        <v>28</v>
      </c>
    </row>
    <row r="516" spans="1:9" ht="25.5">
      <c r="A516" s="1013">
        <v>7132230057</v>
      </c>
      <c r="B516" s="1011" t="s">
        <v>128</v>
      </c>
      <c r="C516" s="1008" t="s">
        <v>1553</v>
      </c>
      <c r="D516" s="1012">
        <v>16371</v>
      </c>
      <c r="E516" s="416" t="s">
        <v>1517</v>
      </c>
      <c r="I516" s="1008" t="s">
        <v>29</v>
      </c>
    </row>
    <row r="517" spans="1:5" ht="12.75">
      <c r="A517" s="1004">
        <v>7132230501</v>
      </c>
      <c r="B517" s="1014" t="s">
        <v>129</v>
      </c>
      <c r="C517" s="1004" t="s">
        <v>803</v>
      </c>
      <c r="D517" s="1006">
        <v>227961</v>
      </c>
      <c r="E517" s="416" t="s">
        <v>1518</v>
      </c>
    </row>
    <row r="518" spans="1:5" ht="12.75">
      <c r="A518" s="1004">
        <v>7132230511</v>
      </c>
      <c r="B518" s="1014" t="s">
        <v>130</v>
      </c>
      <c r="C518" s="1004" t="s">
        <v>803</v>
      </c>
      <c r="D518" s="1006">
        <v>540886</v>
      </c>
      <c r="E518" s="416" t="s">
        <v>1519</v>
      </c>
    </row>
    <row r="519" spans="1:5" ht="12.75">
      <c r="A519" s="1017">
        <v>7132404015</v>
      </c>
      <c r="B519" s="1019" t="s">
        <v>682</v>
      </c>
      <c r="C519" s="1000" t="s">
        <v>1230</v>
      </c>
      <c r="D519" s="1020">
        <v>549</v>
      </c>
      <c r="E519" s="416" t="s">
        <v>1520</v>
      </c>
    </row>
    <row r="520" spans="1:5" ht="12.75">
      <c r="A520" s="1017">
        <v>7132404016</v>
      </c>
      <c r="B520" s="1019" t="s">
        <v>683</v>
      </c>
      <c r="C520" s="1000" t="s">
        <v>1230</v>
      </c>
      <c r="D520" s="1020">
        <v>123</v>
      </c>
      <c r="E520" s="416" t="s">
        <v>1521</v>
      </c>
    </row>
    <row r="521" spans="1:5" ht="25.5">
      <c r="A521" s="1010">
        <v>7132404366</v>
      </c>
      <c r="B521" s="1003" t="s">
        <v>426</v>
      </c>
      <c r="C521" s="1004" t="s">
        <v>803</v>
      </c>
      <c r="D521" s="1006">
        <v>49161</v>
      </c>
      <c r="E521" s="416" t="s">
        <v>1522</v>
      </c>
    </row>
    <row r="522" spans="1:5" ht="25.5">
      <c r="A522" s="1017">
        <v>7132406022</v>
      </c>
      <c r="B522" s="1016" t="s">
        <v>865</v>
      </c>
      <c r="C522" s="1000" t="s">
        <v>1230</v>
      </c>
      <c r="D522" s="1020">
        <v>131</v>
      </c>
      <c r="E522" s="416" t="s">
        <v>1250</v>
      </c>
    </row>
    <row r="523" spans="1:5" ht="25.5">
      <c r="A523" s="1010">
        <v>7132406420</v>
      </c>
      <c r="B523" s="1011" t="s">
        <v>1623</v>
      </c>
      <c r="C523" s="1004" t="s">
        <v>1553</v>
      </c>
      <c r="D523" s="1006">
        <v>2437</v>
      </c>
      <c r="E523" s="416" t="s">
        <v>1251</v>
      </c>
    </row>
    <row r="524" spans="1:5" ht="12.75">
      <c r="A524" s="1010">
        <v>7132406425</v>
      </c>
      <c r="B524" s="1003" t="s">
        <v>923</v>
      </c>
      <c r="C524" s="1004" t="s">
        <v>1553</v>
      </c>
      <c r="D524" s="1006">
        <v>2528</v>
      </c>
      <c r="E524" s="416" t="s">
        <v>923</v>
      </c>
    </row>
    <row r="525" spans="1:5" ht="25.5">
      <c r="A525" s="1013">
        <v>7132406721</v>
      </c>
      <c r="B525" s="1011" t="s">
        <v>1543</v>
      </c>
      <c r="C525" s="1008" t="s">
        <v>1553</v>
      </c>
      <c r="D525" s="1012">
        <v>2538</v>
      </c>
      <c r="E525" s="416" t="s">
        <v>1252</v>
      </c>
    </row>
    <row r="526" spans="1:5" ht="16.5" customHeight="1">
      <c r="A526" s="1031">
        <v>7132411894</v>
      </c>
      <c r="B526" s="1016" t="s">
        <v>141</v>
      </c>
      <c r="C526" s="1000" t="s">
        <v>798</v>
      </c>
      <c r="D526" s="1020">
        <v>457</v>
      </c>
      <c r="E526" s="416" t="s">
        <v>782</v>
      </c>
    </row>
    <row r="527" spans="1:5" ht="31.5" customHeight="1">
      <c r="A527" s="1031">
        <v>7132421002</v>
      </c>
      <c r="B527" s="1011" t="s">
        <v>685</v>
      </c>
      <c r="C527" s="1008" t="s">
        <v>452</v>
      </c>
      <c r="D527" s="1012">
        <v>5166</v>
      </c>
      <c r="E527" s="416" t="s">
        <v>783</v>
      </c>
    </row>
    <row r="528" spans="1:5" ht="12.75">
      <c r="A528" s="1017">
        <v>7132427634</v>
      </c>
      <c r="B528" s="1019" t="s">
        <v>95</v>
      </c>
      <c r="C528" s="1000" t="s">
        <v>1230</v>
      </c>
      <c r="D528" s="1020">
        <v>771</v>
      </c>
      <c r="E528" s="416" t="s">
        <v>784</v>
      </c>
    </row>
    <row r="529" spans="1:5" ht="12.75">
      <c r="A529" s="1017">
        <v>7132427635</v>
      </c>
      <c r="B529" s="1019" t="s">
        <v>96</v>
      </c>
      <c r="C529" s="1000" t="s">
        <v>1230</v>
      </c>
      <c r="D529" s="1020">
        <v>519</v>
      </c>
      <c r="E529" s="416" t="s">
        <v>785</v>
      </c>
    </row>
    <row r="530" spans="1:5" ht="12.75">
      <c r="A530" s="1017">
        <v>7132438002</v>
      </c>
      <c r="B530" s="1016" t="s">
        <v>146</v>
      </c>
      <c r="C530" s="1000" t="s">
        <v>458</v>
      </c>
      <c r="D530" s="1020">
        <v>163</v>
      </c>
      <c r="E530" s="416" t="s">
        <v>786</v>
      </c>
    </row>
    <row r="531" spans="1:5" ht="12.75">
      <c r="A531" s="1004">
        <v>7132444005</v>
      </c>
      <c r="B531" s="1019" t="s">
        <v>1484</v>
      </c>
      <c r="C531" s="1004" t="s">
        <v>1553</v>
      </c>
      <c r="D531" s="1006">
        <v>4</v>
      </c>
      <c r="E531" s="416" t="s">
        <v>787</v>
      </c>
    </row>
    <row r="532" spans="1:5" ht="12.75">
      <c r="A532" s="1017">
        <v>7132444007</v>
      </c>
      <c r="B532" s="1016" t="s">
        <v>881</v>
      </c>
      <c r="C532" s="1000" t="s">
        <v>238</v>
      </c>
      <c r="D532" s="1020">
        <v>893</v>
      </c>
      <c r="E532" s="416"/>
    </row>
    <row r="533" spans="1:9" ht="25.5">
      <c r="A533" s="1031">
        <v>7132448003</v>
      </c>
      <c r="B533" s="1011" t="s">
        <v>1360</v>
      </c>
      <c r="C533" s="1008" t="s">
        <v>452</v>
      </c>
      <c r="D533" s="1012">
        <v>3710</v>
      </c>
      <c r="E533" s="416" t="s">
        <v>788</v>
      </c>
      <c r="I533" s="1008" t="s">
        <v>30</v>
      </c>
    </row>
    <row r="534" spans="1:5" ht="54" customHeight="1">
      <c r="A534" s="1017">
        <v>7132455002</v>
      </c>
      <c r="B534" s="1016" t="s">
        <v>868</v>
      </c>
      <c r="C534" s="1000" t="s">
        <v>1230</v>
      </c>
      <c r="D534" s="1020">
        <v>274</v>
      </c>
      <c r="E534" s="416"/>
    </row>
    <row r="535" spans="1:5" ht="12.75">
      <c r="A535" s="1013">
        <v>7132457798</v>
      </c>
      <c r="B535" s="1011" t="s">
        <v>32</v>
      </c>
      <c r="C535" s="1008" t="s">
        <v>1574</v>
      </c>
      <c r="D535" s="1012">
        <v>77842</v>
      </c>
      <c r="E535" s="416" t="s">
        <v>789</v>
      </c>
    </row>
    <row r="536" spans="1:5" ht="12.75">
      <c r="A536" s="1013">
        <v>7132457798</v>
      </c>
      <c r="B536" s="1011" t="s">
        <v>33</v>
      </c>
      <c r="C536" s="1008" t="s">
        <v>1574</v>
      </c>
      <c r="D536" s="1012">
        <v>68897</v>
      </c>
      <c r="E536" s="416" t="s">
        <v>789</v>
      </c>
    </row>
    <row r="537" spans="1:5" ht="16.5" customHeight="1">
      <c r="A537" s="1015">
        <v>7132459005</v>
      </c>
      <c r="B537" s="1016" t="s">
        <v>1485</v>
      </c>
      <c r="C537" s="1008" t="s">
        <v>1553</v>
      </c>
      <c r="D537" s="1012">
        <v>5</v>
      </c>
      <c r="E537" s="416" t="s">
        <v>790</v>
      </c>
    </row>
    <row r="538" spans="1:5" ht="12.75">
      <c r="A538" s="1007">
        <v>7132461004</v>
      </c>
      <c r="B538" s="1034" t="s">
        <v>1316</v>
      </c>
      <c r="C538" s="1035" t="s">
        <v>435</v>
      </c>
      <c r="D538" s="1006">
        <v>1020</v>
      </c>
      <c r="E538" s="416" t="s">
        <v>791</v>
      </c>
    </row>
    <row r="539" spans="1:5" ht="12.75">
      <c r="A539" s="1007">
        <v>7132461005</v>
      </c>
      <c r="B539" s="1034" t="s">
        <v>1320</v>
      </c>
      <c r="C539" s="1035" t="s">
        <v>1230</v>
      </c>
      <c r="D539" s="1006">
        <v>371</v>
      </c>
      <c r="E539" s="416" t="s">
        <v>792</v>
      </c>
    </row>
    <row r="540" spans="1:5" ht="12.75">
      <c r="A540" s="1010">
        <v>7132468558</v>
      </c>
      <c r="B540" s="1003" t="s">
        <v>425</v>
      </c>
      <c r="C540" s="1004" t="s">
        <v>1553</v>
      </c>
      <c r="D540" s="1006">
        <v>9316</v>
      </c>
      <c r="E540" s="416" t="s">
        <v>793</v>
      </c>
    </row>
    <row r="541" spans="1:5" ht="12.75">
      <c r="A541" s="1017">
        <v>7132475019</v>
      </c>
      <c r="B541" s="1019" t="s">
        <v>681</v>
      </c>
      <c r="C541" s="1000" t="s">
        <v>238</v>
      </c>
      <c r="D541" s="1020">
        <v>310</v>
      </c>
      <c r="E541" s="416"/>
    </row>
    <row r="542" spans="1:5" ht="25.5">
      <c r="A542" s="1017">
        <v>7132475019</v>
      </c>
      <c r="B542" s="1016" t="s">
        <v>369</v>
      </c>
      <c r="C542" s="1000" t="s">
        <v>866</v>
      </c>
      <c r="D542" s="1020">
        <v>131</v>
      </c>
      <c r="E542" s="416"/>
    </row>
    <row r="543" spans="1:5" ht="25.5">
      <c r="A543" s="1017">
        <v>7132476007</v>
      </c>
      <c r="B543" s="1016" t="s">
        <v>370</v>
      </c>
      <c r="C543" s="1000" t="s">
        <v>866</v>
      </c>
      <c r="D543" s="1020">
        <v>15</v>
      </c>
      <c r="E543" s="416" t="s">
        <v>794</v>
      </c>
    </row>
    <row r="544" spans="1:5" ht="25.5">
      <c r="A544" s="1017">
        <v>7132476008</v>
      </c>
      <c r="B544" s="1016" t="s">
        <v>372</v>
      </c>
      <c r="C544" s="1000" t="s">
        <v>866</v>
      </c>
      <c r="D544" s="1020">
        <v>71</v>
      </c>
      <c r="E544" s="416"/>
    </row>
    <row r="545" spans="1:5" ht="12.75">
      <c r="A545" s="1031">
        <v>7132478004</v>
      </c>
      <c r="B545" s="1016" t="s">
        <v>90</v>
      </c>
      <c r="C545" s="1000" t="s">
        <v>1230</v>
      </c>
      <c r="D545" s="1012">
        <v>1351</v>
      </c>
      <c r="E545" s="416" t="s">
        <v>1510</v>
      </c>
    </row>
    <row r="546" spans="1:5" ht="12.75">
      <c r="A546" s="1017">
        <v>7132478011</v>
      </c>
      <c r="B546" s="1019" t="s">
        <v>77</v>
      </c>
      <c r="C546" s="1000" t="s">
        <v>1230</v>
      </c>
      <c r="D546" s="1020">
        <v>534</v>
      </c>
      <c r="E546" s="416"/>
    </row>
    <row r="547" spans="1:5" ht="12.75">
      <c r="A547" s="1017">
        <v>7132478012</v>
      </c>
      <c r="B547" s="1019" t="s">
        <v>78</v>
      </c>
      <c r="C547" s="1000" t="s">
        <v>1230</v>
      </c>
      <c r="D547" s="1020">
        <v>364</v>
      </c>
      <c r="E547" s="416" t="s">
        <v>1511</v>
      </c>
    </row>
    <row r="548" spans="1:5" ht="12.75">
      <c r="A548" s="1017">
        <v>7132478012</v>
      </c>
      <c r="B548" s="1016" t="s">
        <v>373</v>
      </c>
      <c r="C548" s="1000" t="s">
        <v>458</v>
      </c>
      <c r="D548" s="1020">
        <v>65</v>
      </c>
      <c r="E548" s="416" t="s">
        <v>1511</v>
      </c>
    </row>
    <row r="549" spans="1:5" ht="28.5" customHeight="1">
      <c r="A549" s="1031">
        <v>7132490006</v>
      </c>
      <c r="B549" s="1016" t="s">
        <v>684</v>
      </c>
      <c r="C549" s="1008" t="s">
        <v>452</v>
      </c>
      <c r="D549" s="1012">
        <v>4619</v>
      </c>
      <c r="E549" s="416" t="s">
        <v>1512</v>
      </c>
    </row>
    <row r="550" spans="1:5" ht="12.75">
      <c r="A550" s="1017">
        <v>7132490052</v>
      </c>
      <c r="B550" s="1016" t="s">
        <v>375</v>
      </c>
      <c r="C550" s="1000" t="s">
        <v>458</v>
      </c>
      <c r="D550" s="1020">
        <v>59</v>
      </c>
      <c r="E550" s="416"/>
    </row>
    <row r="551" spans="1:5" ht="12.75">
      <c r="A551" s="1017">
        <v>7132490053</v>
      </c>
      <c r="B551" s="1016" t="s">
        <v>376</v>
      </c>
      <c r="C551" s="1000" t="s">
        <v>458</v>
      </c>
      <c r="D551" s="1020">
        <v>90</v>
      </c>
      <c r="E551" s="416"/>
    </row>
    <row r="552" spans="1:5" ht="12.75">
      <c r="A552" s="1017">
        <v>7132498006</v>
      </c>
      <c r="B552" s="1016" t="s">
        <v>1324</v>
      </c>
      <c r="C552" s="1000" t="s">
        <v>454</v>
      </c>
      <c r="D552" s="1020">
        <v>650</v>
      </c>
      <c r="E552" s="416" t="s">
        <v>1513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T63"/>
  <sheetViews>
    <sheetView zoomScaleSheetLayoutView="5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421875" style="574" customWidth="1"/>
    <col min="2" max="2" width="54.57421875" style="98" customWidth="1"/>
    <col min="3" max="3" width="13.28125" style="116" customWidth="1"/>
    <col min="4" max="4" width="6.00390625" style="98" customWidth="1"/>
    <col min="5" max="5" width="7.00390625" style="98" bestFit="1" customWidth="1"/>
    <col min="6" max="6" width="10.00390625" style="98" bestFit="1" customWidth="1"/>
    <col min="7" max="7" width="13.57421875" style="98" bestFit="1" customWidth="1"/>
    <col min="8" max="8" width="5.7109375" style="98" customWidth="1"/>
    <col min="9" max="9" width="10.00390625" style="98" bestFit="1" customWidth="1"/>
    <col min="10" max="10" width="10.421875" style="98" customWidth="1"/>
    <col min="11" max="11" width="9.140625" style="98" customWidth="1"/>
    <col min="12" max="12" width="13.8515625" style="98" customWidth="1"/>
    <col min="13" max="13" width="13.421875" style="98" customWidth="1"/>
    <col min="14" max="16384" width="9.140625" style="98" customWidth="1"/>
  </cols>
  <sheetData>
    <row r="1" spans="2:10" ht="18">
      <c r="B1" s="1153" t="s">
        <v>1124</v>
      </c>
      <c r="C1" s="1153"/>
      <c r="D1" s="1153"/>
      <c r="E1" s="1153"/>
      <c r="F1" s="37"/>
      <c r="G1" s="37"/>
      <c r="H1" s="57"/>
      <c r="I1" s="57"/>
      <c r="J1" s="57"/>
    </row>
    <row r="2" spans="1:7" ht="11.25" customHeight="1">
      <c r="A2" s="418"/>
      <c r="B2" s="418"/>
      <c r="C2" s="419"/>
      <c r="D2" s="418"/>
      <c r="E2" s="418"/>
      <c r="F2" s="418"/>
      <c r="G2" s="418"/>
    </row>
    <row r="3" spans="2:7" ht="34.5" customHeight="1">
      <c r="B3" s="1164" t="s">
        <v>1141</v>
      </c>
      <c r="C3" s="1164"/>
      <c r="D3" s="1164"/>
      <c r="E3" s="1164"/>
      <c r="F3" s="1164"/>
      <c r="G3" s="1164"/>
    </row>
    <row r="4" spans="3:9" ht="15">
      <c r="C4" s="263"/>
      <c r="D4" s="263"/>
      <c r="E4" s="263"/>
      <c r="F4" s="263"/>
      <c r="I4" s="999" t="s">
        <v>551</v>
      </c>
    </row>
    <row r="5" spans="1:10" ht="18" customHeight="1">
      <c r="A5" s="19"/>
      <c r="B5" s="352"/>
      <c r="C5" s="575"/>
      <c r="D5" s="19"/>
      <c r="E5" s="19"/>
      <c r="F5" s="19"/>
      <c r="H5" s="1165" t="s">
        <v>550</v>
      </c>
      <c r="I5" s="1165"/>
      <c r="J5" s="1165"/>
    </row>
    <row r="6" spans="1:14" ht="34.5" customHeight="1">
      <c r="A6" s="1231" t="s">
        <v>1335</v>
      </c>
      <c r="B6" s="1233" t="s">
        <v>449</v>
      </c>
      <c r="C6" s="1234" t="s">
        <v>53</v>
      </c>
      <c r="D6" s="1233" t="s">
        <v>450</v>
      </c>
      <c r="E6" s="1176" t="s">
        <v>171</v>
      </c>
      <c r="F6" s="1180"/>
      <c r="G6" s="1179"/>
      <c r="H6" s="1173" t="s">
        <v>1074</v>
      </c>
      <c r="I6" s="1173"/>
      <c r="J6" s="1173"/>
      <c r="L6" s="23"/>
      <c r="M6" s="23"/>
      <c r="N6" s="23"/>
    </row>
    <row r="7" spans="1:10" ht="15">
      <c r="A7" s="1232"/>
      <c r="B7" s="1233"/>
      <c r="C7" s="1235"/>
      <c r="D7" s="1233"/>
      <c r="E7" s="155" t="s">
        <v>1370</v>
      </c>
      <c r="F7" s="155" t="s">
        <v>799</v>
      </c>
      <c r="G7" s="155" t="s">
        <v>7</v>
      </c>
      <c r="H7" s="202" t="s">
        <v>1370</v>
      </c>
      <c r="I7" s="202" t="s">
        <v>1309</v>
      </c>
      <c r="J7" s="202" t="s">
        <v>7</v>
      </c>
    </row>
    <row r="8" spans="1:10" ht="1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</row>
    <row r="9" spans="1:15" ht="32.25" customHeight="1">
      <c r="A9" s="260">
        <v>1</v>
      </c>
      <c r="B9" s="258" t="s">
        <v>1125</v>
      </c>
      <c r="C9" s="181">
        <v>7130601965</v>
      </c>
      <c r="D9" s="303" t="s">
        <v>458</v>
      </c>
      <c r="E9" s="260">
        <f>37.1*11*2</f>
        <v>816.2</v>
      </c>
      <c r="F9" s="261">
        <f>VLOOKUP(C9,'SOR RATE'!A:D,4,0)/1000</f>
        <v>44.989</v>
      </c>
      <c r="G9" s="1052">
        <f aca="true" t="shared" si="0" ref="G9:G15">F9*E9</f>
        <v>36720.0218</v>
      </c>
      <c r="H9" s="301"/>
      <c r="I9" s="301"/>
      <c r="J9" s="301"/>
      <c r="M9" s="507"/>
      <c r="N9" s="507"/>
      <c r="O9" s="507"/>
    </row>
    <row r="10" spans="1:15" ht="30.75" customHeight="1">
      <c r="A10" s="260">
        <v>2</v>
      </c>
      <c r="B10" s="139" t="s">
        <v>1029</v>
      </c>
      <c r="C10" s="140">
        <v>7130601072</v>
      </c>
      <c r="D10" s="141" t="s">
        <v>458</v>
      </c>
      <c r="E10" s="260"/>
      <c r="F10" s="261"/>
      <c r="G10" s="1052"/>
      <c r="H10" s="261"/>
      <c r="I10" s="261"/>
      <c r="J10" s="261"/>
      <c r="M10" s="507"/>
      <c r="N10" s="507"/>
      <c r="O10" s="507"/>
    </row>
    <row r="11" spans="1:15" ht="16.5" customHeight="1">
      <c r="A11" s="260">
        <v>3</v>
      </c>
      <c r="B11" s="139" t="s">
        <v>1075</v>
      </c>
      <c r="C11" s="140"/>
      <c r="D11" s="141" t="s">
        <v>452</v>
      </c>
      <c r="E11" s="260"/>
      <c r="F11" s="261"/>
      <c r="G11" s="1052"/>
      <c r="H11" s="735">
        <v>2</v>
      </c>
      <c r="I11" s="224">
        <v>5022</v>
      </c>
      <c r="J11" s="261">
        <f>H11*I11</f>
        <v>10044</v>
      </c>
      <c r="L11" s="1166" t="s">
        <v>1076</v>
      </c>
      <c r="M11" s="1166"/>
      <c r="N11" s="507"/>
      <c r="O11" s="507"/>
    </row>
    <row r="12" spans="1:10" ht="17.25" customHeight="1">
      <c r="A12" s="260">
        <v>4</v>
      </c>
      <c r="B12" s="258" t="s">
        <v>1126</v>
      </c>
      <c r="C12" s="181">
        <v>7130810512</v>
      </c>
      <c r="D12" s="303" t="s">
        <v>452</v>
      </c>
      <c r="E12" s="303">
        <v>1</v>
      </c>
      <c r="F12" s="261">
        <f>VLOOKUP(C12,'SOR RATE'!A:D,4,0)</f>
        <v>3940</v>
      </c>
      <c r="G12" s="1053">
        <f t="shared" si="0"/>
        <v>3940</v>
      </c>
      <c r="H12" s="735">
        <v>1</v>
      </c>
      <c r="I12" s="261">
        <f>VLOOKUP(C12,'SOR RATE'!A:D,4,0)</f>
        <v>3940</v>
      </c>
      <c r="J12" s="261">
        <f aca="true" t="shared" si="1" ref="J12:J39">H12*I12</f>
        <v>3940</v>
      </c>
    </row>
    <row r="13" spans="1:13" ht="14.25" customHeight="1">
      <c r="A13" s="260">
        <v>5</v>
      </c>
      <c r="B13" s="313" t="s">
        <v>1030</v>
      </c>
      <c r="C13" s="259">
        <v>7130820010</v>
      </c>
      <c r="D13" s="260" t="s">
        <v>452</v>
      </c>
      <c r="E13" s="260">
        <v>6</v>
      </c>
      <c r="F13" s="261">
        <f>VLOOKUP(C13,'SOR RATE'!A:D,4,0)</f>
        <v>140</v>
      </c>
      <c r="G13" s="1052">
        <f t="shared" si="0"/>
        <v>840</v>
      </c>
      <c r="H13" s="735">
        <v>6</v>
      </c>
      <c r="I13" s="261">
        <f>VLOOKUP(C13,'SOR RATE'!A:D,4,0)</f>
        <v>140</v>
      </c>
      <c r="J13" s="261">
        <f t="shared" si="1"/>
        <v>840</v>
      </c>
      <c r="L13" s="1236" t="s">
        <v>1031</v>
      </c>
      <c r="M13" s="1236"/>
    </row>
    <row r="14" spans="1:10" ht="13.5" customHeight="1">
      <c r="A14" s="260">
        <v>6</v>
      </c>
      <c r="B14" s="313" t="s">
        <v>324</v>
      </c>
      <c r="C14" s="259">
        <v>7130820241</v>
      </c>
      <c r="D14" s="260" t="s">
        <v>452</v>
      </c>
      <c r="E14" s="260">
        <v>6</v>
      </c>
      <c r="F14" s="261">
        <f>VLOOKUP(C14,'SOR RATE'!A:D,4,0)</f>
        <v>123</v>
      </c>
      <c r="G14" s="1052">
        <f t="shared" si="0"/>
        <v>738</v>
      </c>
      <c r="H14" s="735">
        <v>6</v>
      </c>
      <c r="I14" s="261">
        <f>VLOOKUP(C14,'SOR RATE'!A:D,4,0)</f>
        <v>123</v>
      </c>
      <c r="J14" s="261">
        <f t="shared" si="1"/>
        <v>738</v>
      </c>
    </row>
    <row r="15" spans="1:13" ht="14.25" customHeight="1">
      <c r="A15" s="260">
        <v>7</v>
      </c>
      <c r="B15" s="139" t="s">
        <v>168</v>
      </c>
      <c r="C15" s="140">
        <v>7130820008</v>
      </c>
      <c r="D15" s="260" t="s">
        <v>452</v>
      </c>
      <c r="E15" s="260">
        <v>3</v>
      </c>
      <c r="F15" s="261">
        <f>VLOOKUP(C15,'SOR RATE'!A:D,4,0)</f>
        <v>157</v>
      </c>
      <c r="G15" s="1052">
        <f t="shared" si="0"/>
        <v>471</v>
      </c>
      <c r="H15" s="735">
        <v>3</v>
      </c>
      <c r="I15" s="261">
        <f>VLOOKUP(C15,'SOR RATE'!A:D,4,0)</f>
        <v>157</v>
      </c>
      <c r="J15" s="261">
        <f t="shared" si="1"/>
        <v>471</v>
      </c>
      <c r="L15" s="1170" t="s">
        <v>169</v>
      </c>
      <c r="M15" s="1170"/>
    </row>
    <row r="16" spans="1:20" ht="30">
      <c r="A16" s="1228">
        <v>8</v>
      </c>
      <c r="B16" s="311" t="s">
        <v>1127</v>
      </c>
      <c r="C16" s="259"/>
      <c r="D16" s="260" t="s">
        <v>802</v>
      </c>
      <c r="E16" s="260"/>
      <c r="F16" s="261"/>
      <c r="G16" s="1052"/>
      <c r="H16" s="261"/>
      <c r="I16" s="261"/>
      <c r="J16" s="261"/>
      <c r="K16" s="109"/>
      <c r="L16" s="109"/>
      <c r="M16" s="109"/>
      <c r="N16" s="109"/>
      <c r="O16" s="109"/>
      <c r="P16" s="109"/>
      <c r="Q16" s="109"/>
      <c r="R16" s="109"/>
      <c r="S16" s="109"/>
      <c r="T16" s="109"/>
    </row>
    <row r="17" spans="1:20" ht="15.75" customHeight="1">
      <c r="A17" s="1229"/>
      <c r="B17" s="305" t="s">
        <v>327</v>
      </c>
      <c r="C17" s="259">
        <v>7130600032</v>
      </c>
      <c r="D17" s="260" t="s">
        <v>458</v>
      </c>
      <c r="E17" s="260">
        <v>52</v>
      </c>
      <c r="F17" s="261">
        <f>VLOOKUP(C17,'SOR RATE'!A:D,4,0)/1000</f>
        <v>40.214</v>
      </c>
      <c r="G17" s="1052">
        <f>F17*E17</f>
        <v>2091.1279999999997</v>
      </c>
      <c r="H17" s="735">
        <v>52</v>
      </c>
      <c r="I17" s="261">
        <f>VLOOKUP(C17,'SOR RATE'!A:D,4,0)/1000</f>
        <v>40.214</v>
      </c>
      <c r="J17" s="261">
        <f t="shared" si="1"/>
        <v>2091.1279999999997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ht="15.75" customHeight="1">
      <c r="A18" s="1229"/>
      <c r="B18" s="311" t="s">
        <v>1128</v>
      </c>
      <c r="C18" s="576"/>
      <c r="D18" s="577"/>
      <c r="E18" s="577"/>
      <c r="F18" s="577"/>
      <c r="G18" s="577"/>
      <c r="H18" s="261"/>
      <c r="I18" s="261"/>
      <c r="J18" s="261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ht="16.5" customHeight="1">
      <c r="A19" s="1229"/>
      <c r="B19" s="180" t="s">
        <v>1188</v>
      </c>
      <c r="C19" s="181">
        <v>7130810692</v>
      </c>
      <c r="D19" s="179" t="s">
        <v>452</v>
      </c>
      <c r="E19" s="260">
        <v>4</v>
      </c>
      <c r="F19" s="261">
        <f>VLOOKUP(C19,'SOR RATE'!A:D,4,0)</f>
        <v>294</v>
      </c>
      <c r="G19" s="1052">
        <f>F19*E19</f>
        <v>1176</v>
      </c>
      <c r="H19" s="261"/>
      <c r="I19" s="261"/>
      <c r="J19" s="261"/>
      <c r="K19" s="109"/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6.5" customHeight="1">
      <c r="A20" s="1229"/>
      <c r="B20" s="139" t="s">
        <v>1343</v>
      </c>
      <c r="C20" s="140">
        <v>7130810201</v>
      </c>
      <c r="D20" s="141" t="s">
        <v>452</v>
      </c>
      <c r="E20" s="260"/>
      <c r="F20" s="261"/>
      <c r="G20" s="1052"/>
      <c r="H20" s="261"/>
      <c r="I20" s="261"/>
      <c r="J20" s="261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ht="16.5" customHeight="1">
      <c r="A21" s="1229"/>
      <c r="B21" s="139" t="s">
        <v>1344</v>
      </c>
      <c r="C21" s="140">
        <v>7130810251</v>
      </c>
      <c r="D21" s="141" t="s">
        <v>452</v>
      </c>
      <c r="E21" s="260"/>
      <c r="F21" s="261"/>
      <c r="G21" s="1052"/>
      <c r="H21" s="261"/>
      <c r="I21" s="261"/>
      <c r="J21" s="261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6.5" customHeight="1">
      <c r="A22" s="1230"/>
      <c r="B22" s="139" t="s">
        <v>1071</v>
      </c>
      <c r="C22" s="140">
        <v>7130810193</v>
      </c>
      <c r="D22" s="141" t="s">
        <v>452</v>
      </c>
      <c r="E22" s="260"/>
      <c r="F22" s="261"/>
      <c r="G22" s="1052"/>
      <c r="H22" s="735">
        <v>4</v>
      </c>
      <c r="I22" s="261">
        <f>VLOOKUP(C22,'SOR RATE'!A:D,4,0)</f>
        <v>265</v>
      </c>
      <c r="J22" s="261">
        <f t="shared" si="1"/>
        <v>1060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3" spans="1:20" ht="17.25" customHeight="1">
      <c r="A23" s="1228">
        <v>9</v>
      </c>
      <c r="B23" s="556" t="s">
        <v>1129</v>
      </c>
      <c r="C23" s="259">
        <v>7130860032</v>
      </c>
      <c r="D23" s="260" t="s">
        <v>452</v>
      </c>
      <c r="E23" s="260">
        <v>6</v>
      </c>
      <c r="F23" s="261">
        <f>VLOOKUP(C23,'SOR RATE'!A:D,4,0)</f>
        <v>387</v>
      </c>
      <c r="G23" s="1052">
        <f>F23*E23</f>
        <v>2322</v>
      </c>
      <c r="H23" s="735">
        <v>6</v>
      </c>
      <c r="I23" s="261">
        <f>VLOOKUP(C23,'SOR RATE'!A:D,4,0)</f>
        <v>387</v>
      </c>
      <c r="J23" s="261">
        <f t="shared" si="1"/>
        <v>2322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9"/>
    </row>
    <row r="24" spans="1:10" ht="15.75" customHeight="1">
      <c r="A24" s="1229"/>
      <c r="B24" s="304" t="s">
        <v>1130</v>
      </c>
      <c r="C24" s="259">
        <v>7130860077</v>
      </c>
      <c r="D24" s="260" t="s">
        <v>458</v>
      </c>
      <c r="E24" s="260">
        <v>51</v>
      </c>
      <c r="F24" s="261">
        <f>VLOOKUP(C24,'SOR RATE'!A:D,4,0)/1000</f>
        <v>61.6</v>
      </c>
      <c r="G24" s="1052">
        <f>F24*E24</f>
        <v>3141.6</v>
      </c>
      <c r="H24" s="735">
        <v>51</v>
      </c>
      <c r="I24" s="261">
        <f>VLOOKUP(C24,'SOR RATE'!A:D,4,0)/1000</f>
        <v>61.6</v>
      </c>
      <c r="J24" s="261">
        <f t="shared" si="1"/>
        <v>3141.6</v>
      </c>
    </row>
    <row r="25" spans="1:10" ht="16.5" customHeight="1">
      <c r="A25" s="1229"/>
      <c r="B25" s="304" t="s">
        <v>1131</v>
      </c>
      <c r="C25" s="578"/>
      <c r="D25" s="579"/>
      <c r="E25" s="579"/>
      <c r="F25" s="579"/>
      <c r="G25" s="579"/>
      <c r="H25" s="261"/>
      <c r="I25" s="261"/>
      <c r="J25" s="261"/>
    </row>
    <row r="26" spans="1:10" ht="16.5" customHeight="1">
      <c r="A26" s="1229"/>
      <c r="B26" s="580" t="s">
        <v>1188</v>
      </c>
      <c r="C26" s="181">
        <v>7130810692</v>
      </c>
      <c r="D26" s="179" t="s">
        <v>452</v>
      </c>
      <c r="E26" s="260">
        <v>6</v>
      </c>
      <c r="F26" s="261">
        <f>VLOOKUP(C26,'SOR RATE'!A:D,4,0)</f>
        <v>294</v>
      </c>
      <c r="G26" s="1052">
        <f>F26*E26</f>
        <v>1764</v>
      </c>
      <c r="H26" s="261"/>
      <c r="I26" s="261"/>
      <c r="J26" s="261"/>
    </row>
    <row r="27" spans="1:10" ht="16.5" customHeight="1">
      <c r="A27" s="1229"/>
      <c r="B27" s="139" t="s">
        <v>1343</v>
      </c>
      <c r="C27" s="140">
        <v>7130810201</v>
      </c>
      <c r="D27" s="141" t="s">
        <v>452</v>
      </c>
      <c r="E27" s="260"/>
      <c r="F27" s="261"/>
      <c r="G27" s="1052"/>
      <c r="H27" s="261"/>
      <c r="I27" s="261"/>
      <c r="J27" s="261"/>
    </row>
    <row r="28" spans="1:10" ht="16.5" customHeight="1">
      <c r="A28" s="1229"/>
      <c r="B28" s="139" t="s">
        <v>1344</v>
      </c>
      <c r="C28" s="140">
        <v>7130810251</v>
      </c>
      <c r="D28" s="141" t="s">
        <v>452</v>
      </c>
      <c r="E28" s="260"/>
      <c r="F28" s="261"/>
      <c r="G28" s="1052"/>
      <c r="H28" s="261"/>
      <c r="I28" s="261"/>
      <c r="J28" s="261"/>
    </row>
    <row r="29" spans="1:10" ht="16.5" customHeight="1">
      <c r="A29" s="1230"/>
      <c r="B29" s="139" t="s">
        <v>1071</v>
      </c>
      <c r="C29" s="140">
        <v>7130810193</v>
      </c>
      <c r="D29" s="141" t="s">
        <v>452</v>
      </c>
      <c r="E29" s="260"/>
      <c r="F29" s="261"/>
      <c r="G29" s="1052"/>
      <c r="H29" s="735">
        <v>6</v>
      </c>
      <c r="I29" s="261">
        <f>VLOOKUP(C29,'SOR RATE'!A:D,4,0)</f>
        <v>265</v>
      </c>
      <c r="J29" s="261">
        <f t="shared" si="1"/>
        <v>1590</v>
      </c>
    </row>
    <row r="30" spans="1:10" ht="32.25" customHeight="1">
      <c r="A30" s="1225">
        <v>10</v>
      </c>
      <c r="B30" s="311" t="s">
        <v>1132</v>
      </c>
      <c r="C30" s="259"/>
      <c r="D30" s="260" t="s">
        <v>454</v>
      </c>
      <c r="E30" s="260">
        <f>(2*0.65)+(6*0.2)</f>
        <v>2.5</v>
      </c>
      <c r="F30" s="261"/>
      <c r="G30" s="1052"/>
      <c r="H30" s="260">
        <f>(2*0.65)+(6*0.2)</f>
        <v>2.5</v>
      </c>
      <c r="I30" s="261"/>
      <c r="J30" s="261"/>
    </row>
    <row r="31" spans="1:10" ht="15" customHeight="1">
      <c r="A31" s="1226"/>
      <c r="B31" s="313" t="s">
        <v>1341</v>
      </c>
      <c r="C31" s="259">
        <v>7130200401</v>
      </c>
      <c r="D31" s="260" t="s">
        <v>458</v>
      </c>
      <c r="E31" s="260">
        <f>2.5*208</f>
        <v>520</v>
      </c>
      <c r="F31" s="261">
        <f>VLOOKUP(C31,'SOR RATE'!A:D,4,0)/50</f>
        <v>5.36</v>
      </c>
      <c r="G31" s="1052">
        <f aca="true" t="shared" si="2" ref="G31:G36">F31*E31</f>
        <v>2787.2000000000003</v>
      </c>
      <c r="H31" s="735">
        <f>2.5*208</f>
        <v>520</v>
      </c>
      <c r="I31" s="261">
        <f>VLOOKUP(C31,'SOR RATE'!A:D,4,0)/50</f>
        <v>5.36</v>
      </c>
      <c r="J31" s="261">
        <f t="shared" si="1"/>
        <v>2787.2000000000003</v>
      </c>
    </row>
    <row r="32" spans="1:10" ht="17.25" customHeight="1">
      <c r="A32" s="260">
        <v>11</v>
      </c>
      <c r="B32" s="313" t="s">
        <v>1052</v>
      </c>
      <c r="C32" s="259">
        <v>7130870013</v>
      </c>
      <c r="D32" s="260" t="s">
        <v>452</v>
      </c>
      <c r="E32" s="260">
        <v>2</v>
      </c>
      <c r="F32" s="261">
        <f>VLOOKUP(C32,'SOR RATE'!A:D,4,0)</f>
        <v>100</v>
      </c>
      <c r="G32" s="1052">
        <f t="shared" si="2"/>
        <v>200</v>
      </c>
      <c r="H32" s="735">
        <v>2</v>
      </c>
      <c r="I32" s="261">
        <f>VLOOKUP(C32,'SOR RATE'!A:D,4,0)</f>
        <v>100</v>
      </c>
      <c r="J32" s="261">
        <f t="shared" si="1"/>
        <v>200</v>
      </c>
    </row>
    <row r="33" spans="1:10" ht="14.25">
      <c r="A33" s="309">
        <v>12</v>
      </c>
      <c r="B33" s="304" t="s">
        <v>455</v>
      </c>
      <c r="C33" s="259">
        <v>7130211158</v>
      </c>
      <c r="D33" s="260" t="s">
        <v>456</v>
      </c>
      <c r="E33" s="581">
        <v>0.5</v>
      </c>
      <c r="F33" s="261">
        <f>VLOOKUP(C33,'SOR RATE'!A:D,4,0)</f>
        <v>130</v>
      </c>
      <c r="G33" s="1052">
        <f t="shared" si="2"/>
        <v>65</v>
      </c>
      <c r="H33" s="997">
        <v>0.5</v>
      </c>
      <c r="I33" s="261">
        <f>VLOOKUP(C33,'SOR RATE'!A:D,4,0)</f>
        <v>130</v>
      </c>
      <c r="J33" s="261">
        <f t="shared" si="1"/>
        <v>65</v>
      </c>
    </row>
    <row r="34" spans="1:10" ht="14.25">
      <c r="A34" s="309">
        <v>13</v>
      </c>
      <c r="B34" s="304" t="s">
        <v>457</v>
      </c>
      <c r="C34" s="259">
        <v>7130210809</v>
      </c>
      <c r="D34" s="260" t="s">
        <v>456</v>
      </c>
      <c r="E34" s="581">
        <v>0.5</v>
      </c>
      <c r="F34" s="261">
        <f>VLOOKUP(C34,'SOR RATE'!A:D,4,0)</f>
        <v>290</v>
      </c>
      <c r="G34" s="1052">
        <f t="shared" si="2"/>
        <v>145</v>
      </c>
      <c r="H34" s="997">
        <v>0.5</v>
      </c>
      <c r="I34" s="261">
        <f>VLOOKUP(C34,'SOR RATE'!A:D,4,0)</f>
        <v>290</v>
      </c>
      <c r="J34" s="261">
        <f t="shared" si="1"/>
        <v>145</v>
      </c>
    </row>
    <row r="35" spans="1:13" ht="16.5" customHeight="1">
      <c r="A35" s="309">
        <v>14</v>
      </c>
      <c r="B35" s="139" t="s">
        <v>308</v>
      </c>
      <c r="C35" s="140">
        <v>7130610206</v>
      </c>
      <c r="D35" s="136" t="s">
        <v>458</v>
      </c>
      <c r="E35" s="581">
        <v>2</v>
      </c>
      <c r="F35" s="261">
        <f>VLOOKUP(C35,'SOR RATE'!A:D,4,0)/1000</f>
        <v>66.528</v>
      </c>
      <c r="G35" s="1052">
        <f t="shared" si="2"/>
        <v>133.056</v>
      </c>
      <c r="H35" s="735">
        <v>2</v>
      </c>
      <c r="I35" s="261">
        <f>VLOOKUP(C35,'SOR RATE'!A:D,4,0)/1000</f>
        <v>66.528</v>
      </c>
      <c r="J35" s="261">
        <f t="shared" si="1"/>
        <v>133.056</v>
      </c>
      <c r="K35" s="52"/>
      <c r="L35" s="52"/>
      <c r="M35" s="52"/>
    </row>
    <row r="36" spans="1:10" ht="15.75" customHeight="1">
      <c r="A36" s="309">
        <v>15</v>
      </c>
      <c r="B36" s="313" t="s">
        <v>1342</v>
      </c>
      <c r="C36" s="259">
        <v>7130880041</v>
      </c>
      <c r="D36" s="260" t="s">
        <v>1553</v>
      </c>
      <c r="E36" s="581">
        <v>1</v>
      </c>
      <c r="F36" s="261">
        <f>VLOOKUP(C36,'SOR RATE'!A:D,4,0)</f>
        <v>74</v>
      </c>
      <c r="G36" s="1052">
        <f t="shared" si="2"/>
        <v>74</v>
      </c>
      <c r="H36" s="735">
        <v>1</v>
      </c>
      <c r="I36" s="261">
        <f>VLOOKUP(C36,'SOR RATE'!A:D,4,0)</f>
        <v>74</v>
      </c>
      <c r="J36" s="261">
        <f t="shared" si="1"/>
        <v>74</v>
      </c>
    </row>
    <row r="37" spans="1:10" ht="15">
      <c r="A37" s="1225">
        <v>16</v>
      </c>
      <c r="B37" s="582" t="s">
        <v>310</v>
      </c>
      <c r="C37" s="259"/>
      <c r="D37" s="260" t="s">
        <v>458</v>
      </c>
      <c r="E37" s="312">
        <v>6</v>
      </c>
      <c r="F37" s="261"/>
      <c r="G37" s="1052"/>
      <c r="H37" s="340">
        <v>6</v>
      </c>
      <c r="I37" s="261"/>
      <c r="J37" s="261"/>
    </row>
    <row r="38" spans="1:10" ht="14.25">
      <c r="A38" s="1227"/>
      <c r="B38" s="583" t="s">
        <v>438</v>
      </c>
      <c r="C38" s="584">
        <v>7130620609</v>
      </c>
      <c r="D38" s="260" t="s">
        <v>458</v>
      </c>
      <c r="E38" s="585">
        <v>0.5</v>
      </c>
      <c r="F38" s="261">
        <f>VLOOKUP(C38,'SOR RATE'!A:D,4,0)</f>
        <v>64</v>
      </c>
      <c r="G38" s="1054">
        <f>F38*E38</f>
        <v>32</v>
      </c>
      <c r="H38" s="1057">
        <v>0.5</v>
      </c>
      <c r="I38" s="261">
        <f>VLOOKUP(C38,'SOR RATE'!A:D,4,0)</f>
        <v>64</v>
      </c>
      <c r="J38" s="261">
        <f t="shared" si="1"/>
        <v>32</v>
      </c>
    </row>
    <row r="39" spans="1:10" ht="14.25">
      <c r="A39" s="1226"/>
      <c r="B39" s="580" t="s">
        <v>1345</v>
      </c>
      <c r="C39" s="259">
        <v>7130620631</v>
      </c>
      <c r="D39" s="260" t="s">
        <v>458</v>
      </c>
      <c r="E39" s="260">
        <v>5.5</v>
      </c>
      <c r="F39" s="261">
        <f>VLOOKUP(C39,'SOR RATE'!A:D,4,0)</f>
        <v>62</v>
      </c>
      <c r="G39" s="1052">
        <f>F39*E39</f>
        <v>341</v>
      </c>
      <c r="H39" s="1057">
        <v>5.5</v>
      </c>
      <c r="I39" s="261">
        <f>VLOOKUP(C39,'SOR RATE'!A:D,4,0)</f>
        <v>62</v>
      </c>
      <c r="J39" s="261">
        <f t="shared" si="1"/>
        <v>341</v>
      </c>
    </row>
    <row r="40" spans="1:10" ht="15">
      <c r="A40" s="40">
        <v>17</v>
      </c>
      <c r="B40" s="147" t="s">
        <v>1576</v>
      </c>
      <c r="C40" s="259"/>
      <c r="D40" s="312"/>
      <c r="E40" s="586"/>
      <c r="F40" s="306"/>
      <c r="G40" s="1055">
        <f>SUM(G9:G39)</f>
        <v>56981.00579999999</v>
      </c>
      <c r="H40" s="306"/>
      <c r="I40" s="306"/>
      <c r="J40" s="306">
        <f>SUM(J9:J39)</f>
        <v>30014.984</v>
      </c>
    </row>
    <row r="41" spans="1:10" ht="17.25" customHeight="1">
      <c r="A41" s="322">
        <v>18</v>
      </c>
      <c r="B41" s="139" t="s">
        <v>1575</v>
      </c>
      <c r="C41" s="576"/>
      <c r="D41" s="577"/>
      <c r="E41" s="577"/>
      <c r="F41" s="259">
        <v>0.09</v>
      </c>
      <c r="G41" s="1052">
        <f>G40*F41</f>
        <v>5128.290521999999</v>
      </c>
      <c r="H41" s="261"/>
      <c r="I41" s="261">
        <v>0.09</v>
      </c>
      <c r="J41" s="261">
        <f>J40*I41</f>
        <v>2701.34856</v>
      </c>
    </row>
    <row r="42" spans="1:10" ht="16.5" customHeight="1">
      <c r="A42" s="303">
        <v>19</v>
      </c>
      <c r="B42" s="180" t="s">
        <v>1372</v>
      </c>
      <c r="C42" s="181"/>
      <c r="D42" s="303" t="s">
        <v>454</v>
      </c>
      <c r="E42" s="303">
        <v>2.5</v>
      </c>
      <c r="F42" s="182">
        <f>1664*1.27*1.0891*1.086275*1.1112*1.0685</f>
        <v>2968.460981603261</v>
      </c>
      <c r="G42" s="1053">
        <f>F42*E42</f>
        <v>7421.152454008153</v>
      </c>
      <c r="H42" s="1062">
        <v>2.5</v>
      </c>
      <c r="I42" s="182">
        <f>+F42</f>
        <v>2968.460981603261</v>
      </c>
      <c r="J42" s="182">
        <f>H42*I42</f>
        <v>7421.152454008153</v>
      </c>
    </row>
    <row r="43" spans="1:10" ht="16.5" customHeight="1">
      <c r="A43" s="260">
        <v>20</v>
      </c>
      <c r="B43" s="304" t="s">
        <v>1133</v>
      </c>
      <c r="C43" s="259"/>
      <c r="D43" s="260"/>
      <c r="E43" s="260"/>
      <c r="F43" s="260"/>
      <c r="G43" s="1052">
        <v>6987.1</v>
      </c>
      <c r="H43" s="301"/>
      <c r="I43" s="301"/>
      <c r="J43" s="308">
        <v>6987.1</v>
      </c>
    </row>
    <row r="44" spans="1:10" ht="45.75" customHeight="1">
      <c r="A44" s="300">
        <v>21</v>
      </c>
      <c r="B44" s="258" t="s">
        <v>99</v>
      </c>
      <c r="C44" s="181"/>
      <c r="D44" s="303"/>
      <c r="E44" s="303"/>
      <c r="F44" s="182"/>
      <c r="G44" s="1053">
        <f>1.1*1.1*1559*1.2*1.1*1.1797*1.1402*0.9368</f>
        <v>3137.653018373385</v>
      </c>
      <c r="H44" s="301"/>
      <c r="I44" s="301"/>
      <c r="J44" s="182">
        <f>1.1*1.1*1559*1.2*1.1*1.1797*1.1402*0.9368</f>
        <v>3137.653018373385</v>
      </c>
    </row>
    <row r="45" spans="1:10" ht="15">
      <c r="A45" s="192">
        <v>22</v>
      </c>
      <c r="B45" s="147" t="s">
        <v>1577</v>
      </c>
      <c r="C45" s="181"/>
      <c r="D45" s="303"/>
      <c r="E45" s="303"/>
      <c r="F45" s="182"/>
      <c r="G45" s="1051">
        <f>G40+G41+G42+G43+G44</f>
        <v>79655.20179438154</v>
      </c>
      <c r="H45" s="202"/>
      <c r="I45" s="202"/>
      <c r="J45" s="202">
        <f>J40+J41+J42+J43+J44</f>
        <v>50262.23803238154</v>
      </c>
    </row>
    <row r="46" spans="1:10" ht="30" customHeight="1">
      <c r="A46" s="303">
        <v>23</v>
      </c>
      <c r="B46" s="139" t="s">
        <v>1578</v>
      </c>
      <c r="C46" s="181"/>
      <c r="D46" s="303"/>
      <c r="E46" s="303"/>
      <c r="F46" s="182">
        <v>0.11</v>
      </c>
      <c r="G46" s="1053">
        <f>G40*F46</f>
        <v>6267.910637999999</v>
      </c>
      <c r="H46" s="182"/>
      <c r="I46" s="182">
        <v>0.11</v>
      </c>
      <c r="J46" s="182">
        <f>J40*I46</f>
        <v>3301.64824</v>
      </c>
    </row>
    <row r="47" spans="1:10" ht="17.25" customHeight="1">
      <c r="A47" s="300">
        <v>24</v>
      </c>
      <c r="B47" s="258" t="s">
        <v>1331</v>
      </c>
      <c r="C47" s="181"/>
      <c r="D47" s="303"/>
      <c r="E47" s="303"/>
      <c r="F47" s="182"/>
      <c r="G47" s="1053">
        <f>G45+G46</f>
        <v>85923.11243238155</v>
      </c>
      <c r="H47" s="182"/>
      <c r="I47" s="182"/>
      <c r="J47" s="182">
        <f>J45+J46</f>
        <v>53563.88627238154</v>
      </c>
    </row>
    <row r="48" spans="1:10" ht="19.5" customHeight="1">
      <c r="A48" s="320">
        <v>25</v>
      </c>
      <c r="B48" s="587" t="s">
        <v>1056</v>
      </c>
      <c r="C48" s="588"/>
      <c r="D48" s="320"/>
      <c r="E48" s="320"/>
      <c r="F48" s="319"/>
      <c r="G48" s="1056">
        <f>ROUND(G47,0)</f>
        <v>85923</v>
      </c>
      <c r="H48" s="319"/>
      <c r="I48" s="319"/>
      <c r="J48" s="319">
        <f>ROUND(J47,0)</f>
        <v>53564</v>
      </c>
    </row>
    <row r="49" spans="1:7" ht="14.25">
      <c r="A49" s="88"/>
      <c r="B49" s="41"/>
      <c r="C49" s="262"/>
      <c r="D49" s="41"/>
      <c r="E49" s="41"/>
      <c r="F49" s="41"/>
      <c r="G49" s="41"/>
    </row>
    <row r="50" spans="1:7" ht="15">
      <c r="A50" s="146" t="s">
        <v>461</v>
      </c>
      <c r="B50" s="1224" t="s">
        <v>462</v>
      </c>
      <c r="C50" s="1224"/>
      <c r="D50" s="435"/>
      <c r="E50" s="435"/>
      <c r="F50" s="435"/>
      <c r="G50" s="589"/>
    </row>
    <row r="62" spans="1:3" ht="15.75">
      <c r="A62" s="6"/>
      <c r="B62" s="1145" t="s">
        <v>549</v>
      </c>
      <c r="C62" s="1145"/>
    </row>
    <row r="63" spans="1:3" ht="14.25">
      <c r="A63" s="115" t="s">
        <v>1548</v>
      </c>
      <c r="B63" s="180" t="s">
        <v>170</v>
      </c>
      <c r="C63" s="238">
        <v>7130820155</v>
      </c>
    </row>
  </sheetData>
  <sheetProtection/>
  <mergeCells count="18">
    <mergeCell ref="L13:M13"/>
    <mergeCell ref="H6:J6"/>
    <mergeCell ref="H5:J5"/>
    <mergeCell ref="L11:M11"/>
    <mergeCell ref="B1:E1"/>
    <mergeCell ref="A6:A7"/>
    <mergeCell ref="B6:B7"/>
    <mergeCell ref="C6:C7"/>
    <mergeCell ref="D6:D7"/>
    <mergeCell ref="E6:G6"/>
    <mergeCell ref="B3:G3"/>
    <mergeCell ref="L15:M15"/>
    <mergeCell ref="B62:C62"/>
    <mergeCell ref="B50:C50"/>
    <mergeCell ref="A30:A31"/>
    <mergeCell ref="A37:A39"/>
    <mergeCell ref="A16:A22"/>
    <mergeCell ref="A23:A29"/>
  </mergeCells>
  <printOptions gridLines="1" horizontalCentered="1"/>
  <pageMargins left="0.89" right="0.17" top="0.77" bottom="0.34" header="0.66" footer="0.16"/>
  <pageSetup fitToHeight="2" horizontalDpi="300" verticalDpi="300" orientation="landscape" paperSize="9" r:id="rId1"/>
  <rowBreaks count="4" manualBreakCount="4">
    <brk id="25" max="12" man="1"/>
    <brk id="52" max="12" man="1"/>
    <brk id="63" max="15" man="1"/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65"/>
  <sheetViews>
    <sheetView zoomScale="115" zoomScaleNormal="115" zoomScaleSheetLayoutView="8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140625" style="36" customWidth="1"/>
    <col min="2" max="2" width="43.00390625" style="1" customWidth="1"/>
    <col min="3" max="3" width="12.57421875" style="11" customWidth="1"/>
    <col min="4" max="4" width="5.28125" style="1" customWidth="1"/>
    <col min="5" max="5" width="5.57421875" style="1" customWidth="1"/>
    <col min="6" max="6" width="8.28125" style="1" customWidth="1"/>
    <col min="7" max="7" width="10.7109375" style="1" customWidth="1"/>
    <col min="8" max="8" width="5.421875" style="1" customWidth="1"/>
    <col min="9" max="9" width="8.00390625" style="1" customWidth="1"/>
    <col min="10" max="10" width="11.28125" style="1" customWidth="1"/>
    <col min="11" max="11" width="8.28125" style="1" customWidth="1"/>
    <col min="12" max="12" width="9.140625" style="1" customWidth="1"/>
    <col min="13" max="13" width="7.57421875" style="1" customWidth="1"/>
    <col min="14" max="14" width="9.140625" style="1" customWidth="1"/>
    <col min="15" max="15" width="5.421875" style="1" customWidth="1"/>
    <col min="16" max="16384" width="9.140625" style="1" customWidth="1"/>
  </cols>
  <sheetData>
    <row r="1" spans="2:10" ht="18">
      <c r="B1" s="1153" t="s">
        <v>1134</v>
      </c>
      <c r="C1" s="1153"/>
      <c r="D1" s="1153"/>
      <c r="E1" s="1153"/>
      <c r="F1" s="57"/>
      <c r="G1" s="57"/>
      <c r="H1" s="57"/>
      <c r="I1" s="57"/>
      <c r="J1" s="57"/>
    </row>
    <row r="2" spans="2:10" ht="13.5" customHeight="1">
      <c r="B2" s="38"/>
      <c r="C2" s="38"/>
      <c r="D2" s="38"/>
      <c r="E2" s="38"/>
      <c r="F2" s="57"/>
      <c r="G2" s="57"/>
      <c r="H2" s="57"/>
      <c r="I2" s="57"/>
      <c r="J2" s="57"/>
    </row>
    <row r="3" spans="2:16" ht="30" customHeight="1">
      <c r="B3" s="1156" t="s">
        <v>1135</v>
      </c>
      <c r="C3" s="1156"/>
      <c r="D3" s="1156"/>
      <c r="E3" s="1156"/>
      <c r="F3" s="1156"/>
      <c r="G3" s="1156"/>
      <c r="H3" s="1156"/>
      <c r="I3" s="590"/>
      <c r="J3" s="590"/>
      <c r="K3" s="590"/>
      <c r="M3" s="356"/>
      <c r="N3" s="356"/>
      <c r="O3" s="356"/>
      <c r="P3" s="356"/>
    </row>
    <row r="4" spans="1:16" ht="12.75" customHeight="1">
      <c r="A4" s="352"/>
      <c r="B4" s="344"/>
      <c r="C4" s="344"/>
      <c r="D4" s="344"/>
      <c r="E4" s="344"/>
      <c r="F4" s="344"/>
      <c r="G4" s="344"/>
      <c r="H4" s="344"/>
      <c r="I4" s="344"/>
      <c r="J4" s="344"/>
      <c r="M4" s="356"/>
      <c r="N4" s="356"/>
      <c r="O4" s="356"/>
      <c r="P4" s="356"/>
    </row>
    <row r="5" spans="1:15" ht="14.25" customHeight="1">
      <c r="A5" s="89"/>
      <c r="B5" s="65"/>
      <c r="C5" s="551"/>
      <c r="D5" s="87"/>
      <c r="E5" s="310"/>
      <c r="F5" s="310"/>
      <c r="G5" s="65"/>
      <c r="H5" s="65"/>
      <c r="I5" s="390"/>
      <c r="J5" s="1068" t="s">
        <v>551</v>
      </c>
      <c r="M5" s="591"/>
      <c r="N5" s="591"/>
      <c r="O5" s="591"/>
    </row>
    <row r="6" spans="1:10" ht="8.25" customHeight="1">
      <c r="A6" s="89"/>
      <c r="B6" s="65"/>
      <c r="C6" s="551"/>
      <c r="D6" s="87"/>
      <c r="E6" s="310"/>
      <c r="F6" s="310"/>
      <c r="G6" s="65"/>
      <c r="H6" s="65"/>
      <c r="I6" s="390"/>
      <c r="J6" s="75"/>
    </row>
    <row r="7" spans="1:10" ht="15.75" customHeight="1">
      <c r="A7" s="1242" t="s">
        <v>1335</v>
      </c>
      <c r="B7" s="1242" t="s">
        <v>449</v>
      </c>
      <c r="C7" s="1242" t="s">
        <v>53</v>
      </c>
      <c r="D7" s="1242" t="s">
        <v>450</v>
      </c>
      <c r="E7" s="1144" t="s">
        <v>54</v>
      </c>
      <c r="F7" s="1144"/>
      <c r="G7" s="1144"/>
      <c r="H7" s="1144" t="s">
        <v>864</v>
      </c>
      <c r="I7" s="1144"/>
      <c r="J7" s="1144"/>
    </row>
    <row r="8" spans="1:10" ht="12.75">
      <c r="A8" s="1242"/>
      <c r="B8" s="1242"/>
      <c r="C8" s="1242"/>
      <c r="D8" s="1242"/>
      <c r="E8" s="218" t="s">
        <v>451</v>
      </c>
      <c r="F8" s="218" t="s">
        <v>799</v>
      </c>
      <c r="G8" s="218" t="s">
        <v>7</v>
      </c>
      <c r="H8" s="218" t="s">
        <v>451</v>
      </c>
      <c r="I8" s="218" t="s">
        <v>799</v>
      </c>
      <c r="J8" s="218" t="s">
        <v>7</v>
      </c>
    </row>
    <row r="9" spans="1:10" ht="13.5" customHeight="1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19">
        <v>9</v>
      </c>
      <c r="J9" s="219">
        <v>10</v>
      </c>
    </row>
    <row r="10" spans="1:10" ht="27" customHeight="1">
      <c r="A10" s="162">
        <v>1</v>
      </c>
      <c r="B10" s="207" t="s">
        <v>1136</v>
      </c>
      <c r="C10" s="280">
        <v>7130600675</v>
      </c>
      <c r="D10" s="204" t="s">
        <v>458</v>
      </c>
      <c r="E10" s="204">
        <v>2573</v>
      </c>
      <c r="F10" s="205">
        <f>VLOOKUP(C10,'SOR RATE'!A:D,4,0)/1000</f>
        <v>44.989</v>
      </c>
      <c r="G10" s="205">
        <f aca="true" t="shared" si="0" ref="G10:G16">F10*E10</f>
        <v>115756.69699999999</v>
      </c>
      <c r="H10" s="204">
        <f>+E10</f>
        <v>2573</v>
      </c>
      <c r="I10" s="205">
        <f>+F10</f>
        <v>44.989</v>
      </c>
      <c r="J10" s="205">
        <f aca="true" t="shared" si="1" ref="J10:J15">I10*H10</f>
        <v>115756.69699999999</v>
      </c>
    </row>
    <row r="11" spans="1:10" ht="25.5">
      <c r="A11" s="204">
        <v>2</v>
      </c>
      <c r="B11" s="163" t="s">
        <v>1367</v>
      </c>
      <c r="C11" s="280">
        <v>7130810495</v>
      </c>
      <c r="D11" s="204" t="s">
        <v>452</v>
      </c>
      <c r="E11" s="204">
        <v>12</v>
      </c>
      <c r="F11" s="205">
        <f>VLOOKUP(C11,'SOR RATE'!A:D,4,0)</f>
        <v>1048</v>
      </c>
      <c r="G11" s="205">
        <f t="shared" si="0"/>
        <v>12576</v>
      </c>
      <c r="H11" s="204">
        <v>12</v>
      </c>
      <c r="I11" s="205">
        <f aca="true" t="shared" si="2" ref="I11:I39">+F11</f>
        <v>1048</v>
      </c>
      <c r="J11" s="205">
        <f t="shared" si="1"/>
        <v>12576</v>
      </c>
    </row>
    <row r="12" spans="1:10" ht="12.75">
      <c r="A12" s="204">
        <v>3</v>
      </c>
      <c r="B12" s="163" t="s">
        <v>1063</v>
      </c>
      <c r="C12" s="280">
        <v>7130810361</v>
      </c>
      <c r="D12" s="204" t="s">
        <v>452</v>
      </c>
      <c r="E12" s="204">
        <v>12</v>
      </c>
      <c r="F12" s="205">
        <f>VLOOKUP(C12,'SOR RATE'!A:D,4,0)</f>
        <v>282</v>
      </c>
      <c r="G12" s="205">
        <f t="shared" si="0"/>
        <v>3384</v>
      </c>
      <c r="H12" s="204">
        <v>12</v>
      </c>
      <c r="I12" s="205">
        <f t="shared" si="2"/>
        <v>282</v>
      </c>
      <c r="J12" s="205">
        <f t="shared" si="1"/>
        <v>3384</v>
      </c>
    </row>
    <row r="13" spans="1:10" ht="12.75">
      <c r="A13" s="204">
        <v>4</v>
      </c>
      <c r="B13" s="208" t="s">
        <v>1059</v>
      </c>
      <c r="C13" s="280">
        <v>7130810679</v>
      </c>
      <c r="D13" s="204" t="s">
        <v>452</v>
      </c>
      <c r="E13" s="204">
        <v>12</v>
      </c>
      <c r="F13" s="205">
        <f>VLOOKUP(C13,'SOR RATE'!A:D,4,0)</f>
        <v>294</v>
      </c>
      <c r="G13" s="205">
        <f t="shared" si="0"/>
        <v>3528</v>
      </c>
      <c r="H13" s="204">
        <v>12</v>
      </c>
      <c r="I13" s="205">
        <f t="shared" si="2"/>
        <v>294</v>
      </c>
      <c r="J13" s="205">
        <f t="shared" si="1"/>
        <v>3528</v>
      </c>
    </row>
    <row r="14" spans="1:11" ht="15" customHeight="1">
      <c r="A14" s="204">
        <v>5</v>
      </c>
      <c r="B14" s="163" t="s">
        <v>1137</v>
      </c>
      <c r="C14" s="368">
        <v>7130870013</v>
      </c>
      <c r="D14" s="162" t="s">
        <v>452</v>
      </c>
      <c r="E14" s="162">
        <v>12</v>
      </c>
      <c r="F14" s="205">
        <f>VLOOKUP(C14,'SOR RATE'!A:D,4,0)</f>
        <v>100</v>
      </c>
      <c r="G14" s="160">
        <f t="shared" si="0"/>
        <v>1200</v>
      </c>
      <c r="H14" s="162">
        <v>12</v>
      </c>
      <c r="I14" s="160">
        <f t="shared" si="2"/>
        <v>100</v>
      </c>
      <c r="J14" s="160">
        <f t="shared" si="1"/>
        <v>1200</v>
      </c>
      <c r="K14" s="94"/>
    </row>
    <row r="15" spans="1:13" ht="12.75">
      <c r="A15" s="204">
        <v>6</v>
      </c>
      <c r="B15" s="208" t="s">
        <v>1545</v>
      </c>
      <c r="C15" s="280">
        <v>7130820008</v>
      </c>
      <c r="D15" s="204" t="s">
        <v>452</v>
      </c>
      <c r="E15" s="204">
        <v>36</v>
      </c>
      <c r="F15" s="205">
        <f>VLOOKUP(C15,'SOR RATE'!A:D,4,0)</f>
        <v>157</v>
      </c>
      <c r="G15" s="205">
        <f t="shared" si="0"/>
        <v>5652</v>
      </c>
      <c r="H15" s="204">
        <v>36</v>
      </c>
      <c r="I15" s="205">
        <f t="shared" si="2"/>
        <v>157</v>
      </c>
      <c r="J15" s="205">
        <f t="shared" si="1"/>
        <v>5652</v>
      </c>
      <c r="M15" s="1" t="s">
        <v>536</v>
      </c>
    </row>
    <row r="16" spans="1:10" ht="12.75">
      <c r="A16" s="204">
        <v>7</v>
      </c>
      <c r="B16" s="208" t="s">
        <v>300</v>
      </c>
      <c r="C16" s="280">
        <v>7130830057</v>
      </c>
      <c r="D16" s="204" t="s">
        <v>1368</v>
      </c>
      <c r="E16" s="204">
        <v>3100</v>
      </c>
      <c r="F16" s="205">
        <f>VLOOKUP(C16,'SOR RATE'!A:D,4,0)/1000</f>
        <v>33.544</v>
      </c>
      <c r="G16" s="205">
        <f t="shared" si="0"/>
        <v>103986.4</v>
      </c>
      <c r="H16" s="204"/>
      <c r="I16" s="205"/>
      <c r="J16" s="205"/>
    </row>
    <row r="17" spans="1:10" ht="12.75">
      <c r="A17" s="335">
        <v>8</v>
      </c>
      <c r="B17" s="592" t="s">
        <v>301</v>
      </c>
      <c r="C17" s="594">
        <v>7130830055</v>
      </c>
      <c r="D17" s="212" t="s">
        <v>1368</v>
      </c>
      <c r="E17" s="212"/>
      <c r="F17" s="595"/>
      <c r="G17" s="595"/>
      <c r="H17" s="212">
        <v>3100</v>
      </c>
      <c r="I17" s="595">
        <f>VLOOKUP(C17,'SOR RATE'!A:D,4,0)/1000</f>
        <v>20.281</v>
      </c>
      <c r="J17" s="595">
        <f>I17*H17</f>
        <v>62871.1</v>
      </c>
    </row>
    <row r="18" spans="1:10" ht="25.5">
      <c r="A18" s="162">
        <v>9</v>
      </c>
      <c r="B18" s="163" t="s">
        <v>1138</v>
      </c>
      <c r="C18" s="594">
        <v>7130830050</v>
      </c>
      <c r="D18" s="204" t="s">
        <v>452</v>
      </c>
      <c r="E18" s="204">
        <v>6</v>
      </c>
      <c r="F18" s="205">
        <f>VLOOKUP(C18,'SOR RATE'!A:D,4,0)</f>
        <v>32</v>
      </c>
      <c r="G18" s="205">
        <f>F18*E18</f>
        <v>192</v>
      </c>
      <c r="H18" s="204">
        <v>6</v>
      </c>
      <c r="I18" s="205">
        <f t="shared" si="2"/>
        <v>32</v>
      </c>
      <c r="J18" s="205">
        <f>I18*H18</f>
        <v>192</v>
      </c>
    </row>
    <row r="19" spans="1:10" ht="13.5" customHeight="1">
      <c r="A19" s="1161">
        <v>10</v>
      </c>
      <c r="B19" s="213" t="s">
        <v>303</v>
      </c>
      <c r="C19" s="280">
        <v>7130860032</v>
      </c>
      <c r="D19" s="204" t="s">
        <v>452</v>
      </c>
      <c r="E19" s="210">
        <v>4</v>
      </c>
      <c r="F19" s="205">
        <f>VLOOKUP(C19,'SOR RATE'!A:D,4,0)</f>
        <v>387</v>
      </c>
      <c r="G19" s="205">
        <f>F19*E19</f>
        <v>1548</v>
      </c>
      <c r="H19" s="210">
        <v>4</v>
      </c>
      <c r="I19" s="205">
        <f t="shared" si="2"/>
        <v>387</v>
      </c>
      <c r="J19" s="205">
        <f>I19*H19</f>
        <v>1548</v>
      </c>
    </row>
    <row r="20" spans="1:10" ht="12.75">
      <c r="A20" s="1162"/>
      <c r="B20" s="208" t="s">
        <v>1139</v>
      </c>
      <c r="C20" s="280">
        <v>7130860077</v>
      </c>
      <c r="D20" s="204" t="s">
        <v>458</v>
      </c>
      <c r="E20" s="204">
        <v>34</v>
      </c>
      <c r="F20" s="205">
        <f>VLOOKUP(C20,'SOR RATE'!A:D,4,0)/1000</f>
        <v>61.6</v>
      </c>
      <c r="G20" s="205">
        <f>F20*E20</f>
        <v>2094.4</v>
      </c>
      <c r="H20" s="204">
        <f>+E20</f>
        <v>34</v>
      </c>
      <c r="I20" s="205">
        <f t="shared" si="2"/>
        <v>61.6</v>
      </c>
      <c r="J20" s="205">
        <f>I20*H20</f>
        <v>2094.4</v>
      </c>
    </row>
    <row r="21" spans="1:10" ht="12.75">
      <c r="A21" s="1163"/>
      <c r="B21" s="208" t="s">
        <v>1169</v>
      </c>
      <c r="C21" s="280">
        <v>7130810216</v>
      </c>
      <c r="D21" s="204" t="s">
        <v>803</v>
      </c>
      <c r="E21" s="204">
        <v>4</v>
      </c>
      <c r="F21" s="205">
        <f>VLOOKUP(C21,'SOR RATE'!A:D,4,0)</f>
        <v>282</v>
      </c>
      <c r="G21" s="205">
        <f>F21*E21</f>
        <v>1128</v>
      </c>
      <c r="H21" s="204">
        <v>4</v>
      </c>
      <c r="I21" s="205">
        <f t="shared" si="2"/>
        <v>282</v>
      </c>
      <c r="J21" s="205">
        <f>I21*H21</f>
        <v>1128</v>
      </c>
    </row>
    <row r="22" spans="1:10" ht="27" customHeight="1">
      <c r="A22" s="1238">
        <v>11</v>
      </c>
      <c r="B22" s="394" t="s">
        <v>1170</v>
      </c>
      <c r="C22" s="280"/>
      <c r="D22" s="204" t="s">
        <v>454</v>
      </c>
      <c r="E22" s="596">
        <v>5</v>
      </c>
      <c r="F22" s="210"/>
      <c r="G22" s="221"/>
      <c r="H22" s="596">
        <f>+E22</f>
        <v>5</v>
      </c>
      <c r="I22" s="221"/>
      <c r="J22" s="205"/>
    </row>
    <row r="23" spans="1:10" ht="12.75">
      <c r="A23" s="1239"/>
      <c r="B23" s="592" t="s">
        <v>1346</v>
      </c>
      <c r="C23" s="280">
        <v>7130200401</v>
      </c>
      <c r="D23" s="335" t="s">
        <v>458</v>
      </c>
      <c r="E23" s="335">
        <v>1040</v>
      </c>
      <c r="F23" s="205">
        <f>VLOOKUP(C23,'SOR RATE'!A:D,4,0)/50</f>
        <v>5.36</v>
      </c>
      <c r="G23" s="205">
        <f aca="true" t="shared" si="3" ref="G23:G28">F23*E23</f>
        <v>5574.400000000001</v>
      </c>
      <c r="H23" s="211">
        <f>+E23</f>
        <v>1040</v>
      </c>
      <c r="I23" s="205">
        <f t="shared" si="2"/>
        <v>5.36</v>
      </c>
      <c r="J23" s="205">
        <f aca="true" t="shared" si="4" ref="J23:J28">I23*H23</f>
        <v>5574.400000000001</v>
      </c>
    </row>
    <row r="24" spans="1:10" ht="12.75">
      <c r="A24" s="204">
        <v>12</v>
      </c>
      <c r="B24" s="208" t="s">
        <v>455</v>
      </c>
      <c r="C24" s="280">
        <v>7130211158</v>
      </c>
      <c r="D24" s="204" t="s">
        <v>456</v>
      </c>
      <c r="E24" s="204">
        <v>2.5</v>
      </c>
      <c r="F24" s="205">
        <f>VLOOKUP(C24,'SOR RATE'!A:D,4,0)</f>
        <v>130</v>
      </c>
      <c r="G24" s="205">
        <f t="shared" si="3"/>
        <v>325</v>
      </c>
      <c r="H24" s="204">
        <v>2.5</v>
      </c>
      <c r="I24" s="205">
        <f t="shared" si="2"/>
        <v>130</v>
      </c>
      <c r="J24" s="205">
        <f t="shared" si="4"/>
        <v>325</v>
      </c>
    </row>
    <row r="25" spans="1:10" ht="12.75">
      <c r="A25" s="204">
        <v>13</v>
      </c>
      <c r="B25" s="208" t="s">
        <v>1171</v>
      </c>
      <c r="C25" s="280">
        <v>7130210809</v>
      </c>
      <c r="D25" s="204" t="s">
        <v>456</v>
      </c>
      <c r="E25" s="204">
        <v>2.5</v>
      </c>
      <c r="F25" s="205">
        <f>VLOOKUP(C25,'SOR RATE'!A:D,4,0)</f>
        <v>290</v>
      </c>
      <c r="G25" s="205">
        <f t="shared" si="3"/>
        <v>725</v>
      </c>
      <c r="H25" s="204">
        <v>2.5</v>
      </c>
      <c r="I25" s="205">
        <f t="shared" si="2"/>
        <v>290</v>
      </c>
      <c r="J25" s="205">
        <f t="shared" si="4"/>
        <v>725</v>
      </c>
    </row>
    <row r="26" spans="1:14" ht="12.75">
      <c r="A26" s="204">
        <v>14</v>
      </c>
      <c r="B26" s="158" t="s">
        <v>308</v>
      </c>
      <c r="C26" s="164">
        <v>7130610206</v>
      </c>
      <c r="D26" s="210" t="s">
        <v>458</v>
      </c>
      <c r="E26" s="204">
        <v>12</v>
      </c>
      <c r="F26" s="205">
        <f>VLOOKUP(C26,'SOR RATE'!A:D,4,0)/1000</f>
        <v>66.528</v>
      </c>
      <c r="G26" s="205">
        <f t="shared" si="3"/>
        <v>798.336</v>
      </c>
      <c r="H26" s="204">
        <v>12</v>
      </c>
      <c r="I26" s="205">
        <f t="shared" si="2"/>
        <v>66.528</v>
      </c>
      <c r="J26" s="205">
        <f t="shared" si="4"/>
        <v>798.336</v>
      </c>
      <c r="K26" s="105"/>
      <c r="L26" s="52"/>
      <c r="M26" s="52"/>
      <c r="N26" s="52"/>
    </row>
    <row r="27" spans="1:10" ht="12.75">
      <c r="A27" s="204">
        <v>15</v>
      </c>
      <c r="B27" s="208" t="s">
        <v>1342</v>
      </c>
      <c r="C27" s="280">
        <v>7130880041</v>
      </c>
      <c r="D27" s="204" t="s">
        <v>1553</v>
      </c>
      <c r="E27" s="204">
        <v>12</v>
      </c>
      <c r="F27" s="205">
        <f>VLOOKUP(C27,'SOR RATE'!A:D,4,0)</f>
        <v>74</v>
      </c>
      <c r="G27" s="205">
        <f t="shared" si="3"/>
        <v>888</v>
      </c>
      <c r="H27" s="204">
        <v>12</v>
      </c>
      <c r="I27" s="205">
        <f t="shared" si="2"/>
        <v>74</v>
      </c>
      <c r="J27" s="205">
        <f t="shared" si="4"/>
        <v>888</v>
      </c>
    </row>
    <row r="28" spans="1:10" ht="14.25" customHeight="1">
      <c r="A28" s="204">
        <v>16</v>
      </c>
      <c r="B28" s="208" t="s">
        <v>1590</v>
      </c>
      <c r="C28" s="280">
        <v>7130830006</v>
      </c>
      <c r="D28" s="204" t="s">
        <v>458</v>
      </c>
      <c r="E28" s="204">
        <v>3</v>
      </c>
      <c r="F28" s="205">
        <f>VLOOKUP(C28,'SOR RATE'!A:D,4,0)</f>
        <v>139</v>
      </c>
      <c r="G28" s="205">
        <f t="shared" si="3"/>
        <v>417</v>
      </c>
      <c r="H28" s="204">
        <v>3</v>
      </c>
      <c r="I28" s="205">
        <f t="shared" si="2"/>
        <v>139</v>
      </c>
      <c r="J28" s="205">
        <f t="shared" si="4"/>
        <v>417</v>
      </c>
    </row>
    <row r="29" spans="1:10" ht="12.75">
      <c r="A29" s="1161">
        <v>17</v>
      </c>
      <c r="B29" s="267" t="s">
        <v>310</v>
      </c>
      <c r="C29" s="280"/>
      <c r="D29" s="204" t="s">
        <v>458</v>
      </c>
      <c r="E29" s="218">
        <v>14</v>
      </c>
      <c r="F29" s="205"/>
      <c r="G29" s="205"/>
      <c r="H29" s="218">
        <v>14</v>
      </c>
      <c r="I29" s="205"/>
      <c r="J29" s="205"/>
    </row>
    <row r="30" spans="1:10" ht="12.75">
      <c r="A30" s="1162"/>
      <c r="B30" s="364" t="s">
        <v>438</v>
      </c>
      <c r="C30" s="280">
        <v>7130620609</v>
      </c>
      <c r="D30" s="204" t="s">
        <v>458</v>
      </c>
      <c r="E30" s="204">
        <v>5</v>
      </c>
      <c r="F30" s="205">
        <f>VLOOKUP(C30,'SOR RATE'!A:D,4,0)</f>
        <v>64</v>
      </c>
      <c r="G30" s="205">
        <f>F30*E30</f>
        <v>320</v>
      </c>
      <c r="H30" s="204">
        <v>5</v>
      </c>
      <c r="I30" s="205">
        <f t="shared" si="2"/>
        <v>64</v>
      </c>
      <c r="J30" s="205">
        <f>I30*H30</f>
        <v>320</v>
      </c>
    </row>
    <row r="31" spans="1:10" ht="12.75">
      <c r="A31" s="1162"/>
      <c r="B31" s="364" t="s">
        <v>1336</v>
      </c>
      <c r="C31" s="280">
        <v>7130620614</v>
      </c>
      <c r="D31" s="204" t="s">
        <v>458</v>
      </c>
      <c r="E31" s="204">
        <v>4</v>
      </c>
      <c r="F31" s="205">
        <f>VLOOKUP(C31,'SOR RATE'!A:D,4,0)</f>
        <v>63</v>
      </c>
      <c r="G31" s="205">
        <f>F31*E31</f>
        <v>252</v>
      </c>
      <c r="H31" s="204">
        <v>4</v>
      </c>
      <c r="I31" s="205">
        <f t="shared" si="2"/>
        <v>63</v>
      </c>
      <c r="J31" s="205">
        <f>I31*H31</f>
        <v>252</v>
      </c>
    </row>
    <row r="32" spans="1:10" ht="12.75">
      <c r="A32" s="1163"/>
      <c r="B32" s="364" t="s">
        <v>1337</v>
      </c>
      <c r="C32" s="280">
        <v>7130620619</v>
      </c>
      <c r="D32" s="204" t="s">
        <v>458</v>
      </c>
      <c r="E32" s="204">
        <v>5</v>
      </c>
      <c r="F32" s="205">
        <f>VLOOKUP(C32,'SOR RATE'!A:D,4,0)</f>
        <v>63</v>
      </c>
      <c r="G32" s="205">
        <f>F32*E32</f>
        <v>315</v>
      </c>
      <c r="H32" s="204">
        <v>5</v>
      </c>
      <c r="I32" s="205">
        <f t="shared" si="2"/>
        <v>63</v>
      </c>
      <c r="J32" s="205">
        <f>I32*H32</f>
        <v>315</v>
      </c>
    </row>
    <row r="33" spans="1:10" ht="12.75">
      <c r="A33" s="1238">
        <v>18</v>
      </c>
      <c r="B33" s="267" t="s">
        <v>311</v>
      </c>
      <c r="C33" s="332"/>
      <c r="D33" s="333"/>
      <c r="E33" s="333"/>
      <c r="F33" s="333"/>
      <c r="G33" s="333"/>
      <c r="H33" s="333"/>
      <c r="I33" s="333"/>
      <c r="J33" s="334"/>
    </row>
    <row r="34" spans="1:10" ht="12.75">
      <c r="A34" s="1240"/>
      <c r="B34" s="208" t="s">
        <v>1162</v>
      </c>
      <c r="C34" s="280">
        <v>7130810511</v>
      </c>
      <c r="D34" s="204" t="s">
        <v>452</v>
      </c>
      <c r="E34" s="204">
        <v>1</v>
      </c>
      <c r="F34" s="205">
        <f>VLOOKUP(C34,'SOR RATE'!A:D,4,0)</f>
        <v>2485</v>
      </c>
      <c r="G34" s="205">
        <f aca="true" t="shared" si="5" ref="G34:G39">F34*E34</f>
        <v>2485</v>
      </c>
      <c r="H34" s="204">
        <v>1</v>
      </c>
      <c r="I34" s="205">
        <f t="shared" si="2"/>
        <v>2485</v>
      </c>
      <c r="J34" s="205">
        <f aca="true" t="shared" si="6" ref="J34:J39">I34*H34</f>
        <v>2485</v>
      </c>
    </row>
    <row r="35" spans="1:10" ht="12.75">
      <c r="A35" s="1240"/>
      <c r="B35" s="208" t="s">
        <v>1334</v>
      </c>
      <c r="C35" s="280">
        <v>7130870043</v>
      </c>
      <c r="D35" s="204" t="s">
        <v>458</v>
      </c>
      <c r="E35" s="204">
        <v>35</v>
      </c>
      <c r="F35" s="205">
        <f>VLOOKUP(C35,'SOR RATE'!A:D,4,0)/1000</f>
        <v>55.094</v>
      </c>
      <c r="G35" s="205">
        <f t="shared" si="5"/>
        <v>1928.29</v>
      </c>
      <c r="H35" s="204">
        <v>35</v>
      </c>
      <c r="I35" s="205">
        <f t="shared" si="2"/>
        <v>55.094</v>
      </c>
      <c r="J35" s="205">
        <f t="shared" si="6"/>
        <v>1928.29</v>
      </c>
    </row>
    <row r="36" spans="1:10" ht="12.75">
      <c r="A36" s="1240"/>
      <c r="B36" s="208" t="s">
        <v>305</v>
      </c>
      <c r="C36" s="280">
        <v>7130810026</v>
      </c>
      <c r="D36" s="204" t="s">
        <v>452</v>
      </c>
      <c r="E36" s="204">
        <v>2</v>
      </c>
      <c r="F36" s="205">
        <f>VLOOKUP(C36,'SOR RATE'!A:D,4,0)</f>
        <v>142</v>
      </c>
      <c r="G36" s="205">
        <f t="shared" si="5"/>
        <v>284</v>
      </c>
      <c r="H36" s="204">
        <v>2</v>
      </c>
      <c r="I36" s="205">
        <f t="shared" si="2"/>
        <v>142</v>
      </c>
      <c r="J36" s="205">
        <f t="shared" si="6"/>
        <v>284</v>
      </c>
    </row>
    <row r="37" spans="1:10" ht="12.75">
      <c r="A37" s="1240"/>
      <c r="B37" s="208" t="s">
        <v>1163</v>
      </c>
      <c r="C37" s="280">
        <v>7130860077</v>
      </c>
      <c r="D37" s="335" t="s">
        <v>458</v>
      </c>
      <c r="E37" s="335">
        <v>17</v>
      </c>
      <c r="F37" s="205">
        <f>VLOOKUP(C37,'SOR RATE'!A:D,4,0)/1000</f>
        <v>61.6</v>
      </c>
      <c r="G37" s="205">
        <f t="shared" si="5"/>
        <v>1047.2</v>
      </c>
      <c r="H37" s="335">
        <f>+E37</f>
        <v>17</v>
      </c>
      <c r="I37" s="205">
        <f t="shared" si="2"/>
        <v>61.6</v>
      </c>
      <c r="J37" s="205">
        <f t="shared" si="6"/>
        <v>1047.2</v>
      </c>
    </row>
    <row r="38" spans="1:10" ht="12.75">
      <c r="A38" s="1240"/>
      <c r="B38" s="208" t="s">
        <v>1164</v>
      </c>
      <c r="C38" s="280">
        <v>7130860032</v>
      </c>
      <c r="D38" s="204" t="s">
        <v>452</v>
      </c>
      <c r="E38" s="204">
        <v>2</v>
      </c>
      <c r="F38" s="205">
        <f>VLOOKUP(C38,'SOR RATE'!A:D,4,0)</f>
        <v>387</v>
      </c>
      <c r="G38" s="205">
        <f t="shared" si="5"/>
        <v>774</v>
      </c>
      <c r="H38" s="204">
        <v>2</v>
      </c>
      <c r="I38" s="205">
        <f t="shared" si="2"/>
        <v>387</v>
      </c>
      <c r="J38" s="205">
        <f t="shared" si="6"/>
        <v>774</v>
      </c>
    </row>
    <row r="39" spans="1:10" ht="12.75">
      <c r="A39" s="1239"/>
      <c r="B39" s="592" t="s">
        <v>315</v>
      </c>
      <c r="C39" s="280">
        <v>7130620013</v>
      </c>
      <c r="D39" s="336" t="s">
        <v>452</v>
      </c>
      <c r="E39" s="204">
        <v>4</v>
      </c>
      <c r="F39" s="205">
        <f>VLOOKUP(C39,'SOR RATE'!A:D,4,0)</f>
        <v>118</v>
      </c>
      <c r="G39" s="205">
        <f t="shared" si="5"/>
        <v>472</v>
      </c>
      <c r="H39" s="204">
        <v>4</v>
      </c>
      <c r="I39" s="205">
        <f t="shared" si="2"/>
        <v>118</v>
      </c>
      <c r="J39" s="205">
        <f t="shared" si="6"/>
        <v>472</v>
      </c>
    </row>
    <row r="40" spans="1:12" ht="12.75">
      <c r="A40" s="218">
        <v>19</v>
      </c>
      <c r="B40" s="168" t="s">
        <v>1576</v>
      </c>
      <c r="C40" s="366"/>
      <c r="D40" s="330"/>
      <c r="E40" s="218"/>
      <c r="F40" s="218"/>
      <c r="G40" s="220">
        <f>SUM(G10:G39)</f>
        <v>267650.723</v>
      </c>
      <c r="H40" s="220"/>
      <c r="I40" s="220"/>
      <c r="J40" s="220">
        <f>SUM(J10:J39)</f>
        <v>226535.423</v>
      </c>
      <c r="K40" s="323"/>
      <c r="L40" s="32"/>
    </row>
    <row r="41" spans="1:12" ht="12.75">
      <c r="A41" s="209">
        <v>20</v>
      </c>
      <c r="B41" s="158" t="s">
        <v>1575</v>
      </c>
      <c r="C41" s="597"/>
      <c r="D41" s="598"/>
      <c r="E41" s="598"/>
      <c r="F41" s="350">
        <v>0.09</v>
      </c>
      <c r="G41" s="221">
        <f>G40*F41</f>
        <v>24088.56507</v>
      </c>
      <c r="H41" s="599"/>
      <c r="I41" s="350">
        <v>0.09</v>
      </c>
      <c r="J41" s="221">
        <f>J40*I41</f>
        <v>20388.18807</v>
      </c>
      <c r="K41" s="323"/>
      <c r="L41" s="600"/>
    </row>
    <row r="42" spans="1:10" ht="12.75">
      <c r="A42" s="162">
        <v>21</v>
      </c>
      <c r="B42" s="369" t="s">
        <v>1372</v>
      </c>
      <c r="C42" s="368"/>
      <c r="D42" s="162" t="s">
        <v>454</v>
      </c>
      <c r="E42" s="370">
        <v>5</v>
      </c>
      <c r="F42" s="160">
        <f>1664*1.27*1.0891*1.086275*1.1112*1.0685</f>
        <v>2968.460981603261</v>
      </c>
      <c r="G42" s="160">
        <f>F42*E42</f>
        <v>14842.304908016305</v>
      </c>
      <c r="H42" s="370">
        <f>+E42</f>
        <v>5</v>
      </c>
      <c r="I42" s="160">
        <f>+F42</f>
        <v>2968.460981603261</v>
      </c>
      <c r="J42" s="160">
        <f>I42*H42</f>
        <v>14842.304908016305</v>
      </c>
    </row>
    <row r="43" spans="1:15" ht="15.75">
      <c r="A43" s="204">
        <v>22</v>
      </c>
      <c r="B43" s="208" t="s">
        <v>1172</v>
      </c>
      <c r="C43" s="280"/>
      <c r="D43" s="204"/>
      <c r="E43" s="204"/>
      <c r="F43" s="204"/>
      <c r="G43" s="205">
        <v>38447.11</v>
      </c>
      <c r="H43" s="205"/>
      <c r="I43" s="371"/>
      <c r="J43" s="205">
        <v>37844.44</v>
      </c>
      <c r="K43" s="29"/>
      <c r="L43" s="71"/>
      <c r="M43" s="54"/>
      <c r="N43" s="54"/>
      <c r="O43" s="54"/>
    </row>
    <row r="44" spans="1:10" ht="39.75" customHeight="1">
      <c r="A44" s="162">
        <v>23</v>
      </c>
      <c r="B44" s="163" t="s">
        <v>1119</v>
      </c>
      <c r="C44" s="368"/>
      <c r="D44" s="162"/>
      <c r="E44" s="162"/>
      <c r="F44" s="160"/>
      <c r="G44" s="160">
        <f>1.1*1.1*4108*1.2*1.1*1.1797*1.1402*0.9368</f>
        <v>8267.786144629807</v>
      </c>
      <c r="H44" s="162"/>
      <c r="I44" s="372"/>
      <c r="J44" s="160">
        <f>1.1*1.1*4108*1.2*1.1*1.1797*1.1402*0.9368</f>
        <v>8267.786144629807</v>
      </c>
    </row>
    <row r="45" spans="1:11" ht="12.75">
      <c r="A45" s="67">
        <v>24</v>
      </c>
      <c r="B45" s="168" t="s">
        <v>1577</v>
      </c>
      <c r="C45" s="368"/>
      <c r="D45" s="162"/>
      <c r="E45" s="162"/>
      <c r="F45" s="160"/>
      <c r="G45" s="68">
        <f>G40+G41+G42+G43+G44</f>
        <v>353296.4891226461</v>
      </c>
      <c r="H45" s="67"/>
      <c r="I45" s="374"/>
      <c r="J45" s="68">
        <f>J40+J41+J42+J43+J44</f>
        <v>307878.14212264615</v>
      </c>
      <c r="K45" s="327"/>
    </row>
    <row r="46" spans="1:11" ht="27" customHeight="1">
      <c r="A46" s="162">
        <v>25</v>
      </c>
      <c r="B46" s="158" t="s">
        <v>1578</v>
      </c>
      <c r="C46" s="368"/>
      <c r="D46" s="162"/>
      <c r="E46" s="162"/>
      <c r="F46" s="160">
        <v>0.11</v>
      </c>
      <c r="G46" s="160">
        <f>G40*F46</f>
        <v>29441.57953</v>
      </c>
      <c r="H46" s="162"/>
      <c r="I46" s="160">
        <v>0.11</v>
      </c>
      <c r="J46" s="160">
        <f>J40*I46</f>
        <v>24918.89653</v>
      </c>
      <c r="K46" s="327"/>
    </row>
    <row r="47" spans="1:10" ht="15.75" customHeight="1">
      <c r="A47" s="204">
        <v>26</v>
      </c>
      <c r="B47" s="208" t="s">
        <v>1332</v>
      </c>
      <c r="C47" s="280"/>
      <c r="D47" s="204"/>
      <c r="E47" s="204"/>
      <c r="F47" s="204"/>
      <c r="G47" s="205">
        <f>G45+G46</f>
        <v>382738.0686526461</v>
      </c>
      <c r="H47" s="205"/>
      <c r="I47" s="205"/>
      <c r="J47" s="205">
        <f>J45+J46</f>
        <v>332797.0386526462</v>
      </c>
    </row>
    <row r="48" spans="1:10" ht="25.5">
      <c r="A48" s="67">
        <v>27</v>
      </c>
      <c r="B48" s="169" t="s">
        <v>1333</v>
      </c>
      <c r="C48" s="274"/>
      <c r="D48" s="67"/>
      <c r="E48" s="67"/>
      <c r="F48" s="68"/>
      <c r="G48" s="68">
        <f>ROUND(G47,0)</f>
        <v>382738</v>
      </c>
      <c r="H48" s="68"/>
      <c r="I48" s="68"/>
      <c r="J48" s="68">
        <f>ROUND(J47,0)</f>
        <v>332797</v>
      </c>
    </row>
    <row r="49" spans="1:10" ht="12.75">
      <c r="A49" s="315"/>
      <c r="B49" s="316"/>
      <c r="C49" s="601"/>
      <c r="D49" s="316"/>
      <c r="E49" s="316"/>
      <c r="F49" s="316"/>
      <c r="G49" s="602"/>
      <c r="H49" s="316"/>
      <c r="I49" s="603"/>
      <c r="J49" s="602"/>
    </row>
    <row r="50" spans="1:9" ht="15.75" customHeight="1">
      <c r="A50" s="1241" t="s">
        <v>1173</v>
      </c>
      <c r="B50" s="1241"/>
      <c r="C50" s="1241"/>
      <c r="D50" s="1241"/>
      <c r="I50" s="389"/>
    </row>
    <row r="51" spans="1:9" ht="12.75">
      <c r="A51" s="13"/>
      <c r="B51" s="1237" t="s">
        <v>1174</v>
      </c>
      <c r="C51" s="1237"/>
      <c r="D51" s="1237"/>
      <c r="E51" s="271"/>
      <c r="F51" s="271"/>
      <c r="G51" s="271"/>
      <c r="I51" s="389"/>
    </row>
    <row r="53" spans="2:12" ht="15" customHeight="1">
      <c r="B53" s="604"/>
      <c r="L53" s="438"/>
    </row>
    <row r="54" spans="2:12" ht="25.5" customHeight="1">
      <c r="B54" s="604"/>
      <c r="K54" s="438"/>
      <c r="L54" s="438"/>
    </row>
    <row r="63" spans="2:3" ht="15.75">
      <c r="B63" s="1145" t="s">
        <v>549</v>
      </c>
      <c r="C63" s="1145"/>
    </row>
    <row r="65" spans="2:4" ht="12.75">
      <c r="B65" s="592" t="s">
        <v>299</v>
      </c>
      <c r="C65" s="281">
        <v>7130820155</v>
      </c>
      <c r="D65" s="209" t="s">
        <v>452</v>
      </c>
    </row>
  </sheetData>
  <sheetProtection/>
  <mergeCells count="15">
    <mergeCell ref="B1:E1"/>
    <mergeCell ref="B3:H3"/>
    <mergeCell ref="A7:A8"/>
    <mergeCell ref="B7:B8"/>
    <mergeCell ref="C7:C8"/>
    <mergeCell ref="D7:D8"/>
    <mergeCell ref="E7:G7"/>
    <mergeCell ref="H7:J7"/>
    <mergeCell ref="B63:C63"/>
    <mergeCell ref="B51:D51"/>
    <mergeCell ref="A19:A21"/>
    <mergeCell ref="A22:A23"/>
    <mergeCell ref="A29:A32"/>
    <mergeCell ref="A33:A39"/>
    <mergeCell ref="A50:D50"/>
  </mergeCells>
  <printOptions gridLines="1" horizontalCentered="1"/>
  <pageMargins left="0.75" right="0" top="0.97" bottom="0.35" header="0.62" footer="0"/>
  <pageSetup fitToHeight="2" horizontalDpi="300" verticalDpi="300" orientation="landscape" paperSize="9" scale="115" r:id="rId1"/>
  <rowBreaks count="2" manualBreakCount="2">
    <brk id="28" max="14" man="1"/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P5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57421875" style="36" customWidth="1"/>
    <col min="2" max="2" width="48.421875" style="1" customWidth="1"/>
    <col min="3" max="3" width="11.57421875" style="1" customWidth="1"/>
    <col min="4" max="4" width="5.28125" style="1" bestFit="1" customWidth="1"/>
    <col min="5" max="5" width="7.00390625" style="1" bestFit="1" customWidth="1"/>
    <col min="6" max="6" width="8.8515625" style="1" customWidth="1"/>
    <col min="7" max="7" width="11.00390625" style="1" bestFit="1" customWidth="1"/>
    <col min="8" max="8" width="14.00390625" style="1" customWidth="1"/>
    <col min="9" max="9" width="9.28125" style="1" customWidth="1"/>
    <col min="10" max="10" width="15.00390625" style="1" bestFit="1" customWidth="1"/>
    <col min="11" max="11" width="6.00390625" style="1" customWidth="1"/>
    <col min="12" max="12" width="5.421875" style="1" customWidth="1"/>
    <col min="13" max="13" width="10.421875" style="1" bestFit="1" customWidth="1"/>
    <col min="14" max="14" width="13.421875" style="1" bestFit="1" customWidth="1"/>
    <col min="15" max="15" width="7.00390625" style="1" customWidth="1"/>
    <col min="16" max="16" width="10.57421875" style="1" customWidth="1"/>
    <col min="17" max="16384" width="9.140625" style="1" customWidth="1"/>
  </cols>
  <sheetData>
    <row r="1" spans="6:7" ht="15.75">
      <c r="F1" s="1243" t="s">
        <v>551</v>
      </c>
      <c r="G1" s="1243"/>
    </row>
    <row r="2" spans="2:7" ht="18">
      <c r="B2" s="1153" t="s">
        <v>1175</v>
      </c>
      <c r="C2" s="1153"/>
      <c r="D2" s="1153"/>
      <c r="E2" s="57"/>
      <c r="F2" s="57"/>
      <c r="G2" s="57"/>
    </row>
    <row r="3" spans="2:7" ht="12.75" customHeight="1">
      <c r="B3" s="38"/>
      <c r="C3" s="38"/>
      <c r="D3" s="38"/>
      <c r="E3" s="57"/>
      <c r="F3" s="57"/>
      <c r="G3" s="57"/>
    </row>
    <row r="4" spans="2:7" ht="31.5" customHeight="1">
      <c r="B4" s="1164" t="s">
        <v>1176</v>
      </c>
      <c r="C4" s="1164"/>
      <c r="D4" s="1164"/>
      <c r="E4" s="1164"/>
      <c r="F4" s="1164"/>
      <c r="G4" s="16"/>
    </row>
    <row r="5" spans="1:6" ht="12.75">
      <c r="A5" s="605"/>
      <c r="B5" s="264"/>
      <c r="C5" s="264"/>
      <c r="D5" s="264"/>
      <c r="E5" s="264"/>
      <c r="F5" s="606"/>
    </row>
    <row r="6" spans="1:7" ht="25.5">
      <c r="A6" s="359" t="s">
        <v>1177</v>
      </c>
      <c r="B6" s="359" t="s">
        <v>449</v>
      </c>
      <c r="C6" s="391" t="s">
        <v>53</v>
      </c>
      <c r="D6" s="218" t="s">
        <v>450</v>
      </c>
      <c r="E6" s="218" t="s">
        <v>451</v>
      </c>
      <c r="F6" s="392" t="s">
        <v>799</v>
      </c>
      <c r="G6" s="218" t="s">
        <v>7</v>
      </c>
    </row>
    <row r="7" spans="1:7" ht="12.75">
      <c r="A7" s="219">
        <v>1</v>
      </c>
      <c r="B7" s="219">
        <v>2</v>
      </c>
      <c r="C7" s="607" t="s">
        <v>1550</v>
      </c>
      <c r="D7" s="219">
        <v>4</v>
      </c>
      <c r="E7" s="219">
        <v>5</v>
      </c>
      <c r="F7" s="608">
        <v>6</v>
      </c>
      <c r="G7" s="219">
        <v>7</v>
      </c>
    </row>
    <row r="8" spans="1:7" ht="29.25" customHeight="1">
      <c r="A8" s="609">
        <v>1</v>
      </c>
      <c r="B8" s="610" t="s">
        <v>1292</v>
      </c>
      <c r="C8" s="291">
        <v>7130600675</v>
      </c>
      <c r="D8" s="204" t="s">
        <v>458</v>
      </c>
      <c r="E8" s="204">
        <v>428.89</v>
      </c>
      <c r="F8" s="205">
        <f>VLOOKUP(C8,'SOR RATE'!A:D,4,0)/1000</f>
        <v>44.989</v>
      </c>
      <c r="G8" s="205">
        <f>F8*E8</f>
        <v>19295.332209999997</v>
      </c>
    </row>
    <row r="9" spans="1:7" ht="16.5" customHeight="1">
      <c r="A9" s="204">
        <v>2</v>
      </c>
      <c r="B9" s="206" t="s">
        <v>322</v>
      </c>
      <c r="C9" s="291">
        <v>7130810512</v>
      </c>
      <c r="D9" s="204" t="s">
        <v>802</v>
      </c>
      <c r="E9" s="204">
        <v>1</v>
      </c>
      <c r="F9" s="205">
        <f>VLOOKUP(C9,'SOR RATE'!A:D,4,0)</f>
        <v>3940</v>
      </c>
      <c r="G9" s="205">
        <f>F9*E9</f>
        <v>3940</v>
      </c>
    </row>
    <row r="10" spans="1:10" ht="12.75">
      <c r="A10" s="204">
        <v>3</v>
      </c>
      <c r="B10" s="206" t="s">
        <v>1030</v>
      </c>
      <c r="C10" s="291">
        <v>7130820010</v>
      </c>
      <c r="D10" s="204" t="s">
        <v>803</v>
      </c>
      <c r="E10" s="204">
        <v>6</v>
      </c>
      <c r="F10" s="205">
        <f>VLOOKUP(C10,'SOR RATE'!A:D,4,0)</f>
        <v>140</v>
      </c>
      <c r="G10" s="205">
        <f>F10*E10</f>
        <v>840</v>
      </c>
      <c r="J10" s="1" t="s">
        <v>1031</v>
      </c>
    </row>
    <row r="11" spans="1:7" ht="12.75">
      <c r="A11" s="204">
        <v>4</v>
      </c>
      <c r="B11" s="206" t="s">
        <v>324</v>
      </c>
      <c r="C11" s="291">
        <v>7130820241</v>
      </c>
      <c r="D11" s="204" t="s">
        <v>452</v>
      </c>
      <c r="E11" s="204">
        <v>6</v>
      </c>
      <c r="F11" s="205">
        <f>VLOOKUP(C11,'SOR RATE'!A:D,4,0)</f>
        <v>123</v>
      </c>
      <c r="G11" s="205">
        <f>F11*E11</f>
        <v>738</v>
      </c>
    </row>
    <row r="12" spans="1:10" ht="12.75">
      <c r="A12" s="204">
        <v>5</v>
      </c>
      <c r="B12" s="206" t="s">
        <v>1545</v>
      </c>
      <c r="C12" s="291">
        <v>7130820008</v>
      </c>
      <c r="D12" s="204" t="s">
        <v>452</v>
      </c>
      <c r="E12" s="204">
        <v>3</v>
      </c>
      <c r="F12" s="205">
        <f>VLOOKUP(C12,'SOR RATE'!A:D,4,0)</f>
        <v>157</v>
      </c>
      <c r="G12" s="205">
        <f>F12*E12</f>
        <v>471</v>
      </c>
      <c r="J12" s="1" t="s">
        <v>383</v>
      </c>
    </row>
    <row r="13" spans="1:7" ht="28.5" customHeight="1">
      <c r="A13" s="1161">
        <v>6</v>
      </c>
      <c r="B13" s="394" t="s">
        <v>1293</v>
      </c>
      <c r="C13" s="611"/>
      <c r="D13" s="204" t="s">
        <v>802</v>
      </c>
      <c r="E13" s="204"/>
      <c r="F13" s="205"/>
      <c r="G13" s="205"/>
    </row>
    <row r="14" spans="1:7" ht="12.75">
      <c r="A14" s="1162"/>
      <c r="B14" s="207" t="s">
        <v>327</v>
      </c>
      <c r="C14" s="291">
        <v>7130600032</v>
      </c>
      <c r="D14" s="204" t="s">
        <v>458</v>
      </c>
      <c r="E14" s="210">
        <v>52</v>
      </c>
      <c r="F14" s="205">
        <f>VLOOKUP(C14,'SOR RATE'!A:D,4,0)/1000</f>
        <v>40.214</v>
      </c>
      <c r="G14" s="205">
        <f>F14*E14</f>
        <v>2091.1279999999997</v>
      </c>
    </row>
    <row r="15" spans="1:16" ht="14.25">
      <c r="A15" s="1163"/>
      <c r="B15" s="207" t="s">
        <v>328</v>
      </c>
      <c r="C15" s="280">
        <v>7130810216</v>
      </c>
      <c r="D15" s="204" t="s">
        <v>452</v>
      </c>
      <c r="E15" s="210">
        <v>4</v>
      </c>
      <c r="F15" s="205">
        <f>VLOOKUP(C15,'SOR RATE'!A:D,4,0)</f>
        <v>282</v>
      </c>
      <c r="G15" s="205">
        <f>F15*E15</f>
        <v>1128</v>
      </c>
      <c r="I15" s="1112"/>
      <c r="J15" s="612"/>
      <c r="K15" s="613"/>
      <c r="L15" s="614"/>
      <c r="M15" s="615"/>
      <c r="N15" s="615"/>
      <c r="O15" s="614"/>
      <c r="P15" s="615"/>
    </row>
    <row r="16" spans="1:7" ht="12.75">
      <c r="A16" s="1161">
        <v>7</v>
      </c>
      <c r="B16" s="349" t="s">
        <v>1294</v>
      </c>
      <c r="C16" s="291">
        <v>7130860032</v>
      </c>
      <c r="D16" s="204" t="s">
        <v>452</v>
      </c>
      <c r="E16" s="210">
        <v>6</v>
      </c>
      <c r="F16" s="205">
        <f>VLOOKUP(C16,'SOR RATE'!A:D,4,0)</f>
        <v>387</v>
      </c>
      <c r="G16" s="205">
        <f>F16*E16</f>
        <v>2322</v>
      </c>
    </row>
    <row r="17" spans="1:7" ht="15" customHeight="1">
      <c r="A17" s="1162"/>
      <c r="B17" s="208" t="s">
        <v>1295</v>
      </c>
      <c r="C17" s="291">
        <v>7130860077</v>
      </c>
      <c r="D17" s="204" t="s">
        <v>458</v>
      </c>
      <c r="E17" s="204">
        <v>51</v>
      </c>
      <c r="F17" s="205">
        <f>VLOOKUP(C17,'SOR RATE'!A:D,4,0)/1000</f>
        <v>61.6</v>
      </c>
      <c r="G17" s="205">
        <f>F17*E17</f>
        <v>3141.6</v>
      </c>
    </row>
    <row r="18" spans="1:7" ht="12.75">
      <c r="A18" s="1163"/>
      <c r="B18" s="208" t="s">
        <v>1169</v>
      </c>
      <c r="C18" s="280">
        <v>7130810216</v>
      </c>
      <c r="D18" s="204" t="s">
        <v>452</v>
      </c>
      <c r="E18" s="204">
        <v>6</v>
      </c>
      <c r="F18" s="205">
        <f>VLOOKUP(C18,'SOR RATE'!A:D,4,0)</f>
        <v>282</v>
      </c>
      <c r="G18" s="205">
        <f>F18*E18</f>
        <v>1692</v>
      </c>
    </row>
    <row r="19" spans="1:7" ht="27.75" customHeight="1">
      <c r="A19" s="1161">
        <v>8</v>
      </c>
      <c r="B19" s="394" t="s">
        <v>1296</v>
      </c>
      <c r="C19" s="611"/>
      <c r="D19" s="204" t="s">
        <v>454</v>
      </c>
      <c r="E19" s="218">
        <v>1.9</v>
      </c>
      <c r="F19" s="205"/>
      <c r="G19" s="205"/>
    </row>
    <row r="20" spans="1:7" ht="12.75">
      <c r="A20" s="1163"/>
      <c r="B20" s="206" t="s">
        <v>1346</v>
      </c>
      <c r="C20" s="291">
        <v>7130200401</v>
      </c>
      <c r="D20" s="204" t="s">
        <v>458</v>
      </c>
      <c r="E20" s="204">
        <v>395</v>
      </c>
      <c r="F20" s="205">
        <f>VLOOKUP(C20,'SOR RATE'!A:D,4,0)/50</f>
        <v>5.36</v>
      </c>
      <c r="G20" s="205">
        <f aca="true" t="shared" si="0" ref="G20:G25">F20*E20</f>
        <v>2117.2000000000003</v>
      </c>
    </row>
    <row r="21" spans="1:7" ht="12.75">
      <c r="A21" s="204">
        <v>9</v>
      </c>
      <c r="B21" s="206" t="s">
        <v>1297</v>
      </c>
      <c r="C21" s="611">
        <v>7130870013</v>
      </c>
      <c r="D21" s="204" t="s">
        <v>452</v>
      </c>
      <c r="E21" s="204">
        <v>1</v>
      </c>
      <c r="F21" s="205">
        <f>VLOOKUP(C21,'SOR RATE'!A:D,4,0)</f>
        <v>100</v>
      </c>
      <c r="G21" s="205">
        <f t="shared" si="0"/>
        <v>100</v>
      </c>
    </row>
    <row r="22" spans="1:7" ht="12.75">
      <c r="A22" s="204">
        <v>10</v>
      </c>
      <c r="B22" s="208" t="s">
        <v>455</v>
      </c>
      <c r="C22" s="291">
        <v>7130211158</v>
      </c>
      <c r="D22" s="204" t="s">
        <v>456</v>
      </c>
      <c r="E22" s="204">
        <v>0.5</v>
      </c>
      <c r="F22" s="205">
        <f>VLOOKUP(C22,'SOR RATE'!A:D,4,0)</f>
        <v>130</v>
      </c>
      <c r="G22" s="205">
        <f t="shared" si="0"/>
        <v>65</v>
      </c>
    </row>
    <row r="23" spans="1:7" ht="12.75">
      <c r="A23" s="204">
        <v>11</v>
      </c>
      <c r="B23" s="208" t="s">
        <v>457</v>
      </c>
      <c r="C23" s="291">
        <v>7130210809</v>
      </c>
      <c r="D23" s="204" t="s">
        <v>456</v>
      </c>
      <c r="E23" s="204">
        <v>0.5</v>
      </c>
      <c r="F23" s="205">
        <f>VLOOKUP(C23,'SOR RATE'!A:D,4,0)</f>
        <v>290</v>
      </c>
      <c r="G23" s="205">
        <f t="shared" si="0"/>
        <v>145</v>
      </c>
    </row>
    <row r="24" spans="1:11" ht="15.75" customHeight="1">
      <c r="A24" s="204">
        <v>12</v>
      </c>
      <c r="B24" s="158" t="s">
        <v>308</v>
      </c>
      <c r="C24" s="164">
        <v>7130610206</v>
      </c>
      <c r="D24" s="210" t="s">
        <v>458</v>
      </c>
      <c r="E24" s="204">
        <v>2</v>
      </c>
      <c r="F24" s="205">
        <f>VLOOKUP(C24,'SOR RATE'!A:D,4,0)/1000</f>
        <v>66.528</v>
      </c>
      <c r="G24" s="205">
        <f t="shared" si="0"/>
        <v>133.056</v>
      </c>
      <c r="H24" s="105"/>
      <c r="I24" s="52"/>
      <c r="J24" s="52"/>
      <c r="K24" s="52"/>
    </row>
    <row r="25" spans="1:7" ht="12.75">
      <c r="A25" s="204">
        <v>13</v>
      </c>
      <c r="B25" s="206" t="s">
        <v>1342</v>
      </c>
      <c r="C25" s="291">
        <v>7130880041</v>
      </c>
      <c r="D25" s="204" t="s">
        <v>1553</v>
      </c>
      <c r="E25" s="204">
        <v>1</v>
      </c>
      <c r="F25" s="205">
        <f>VLOOKUP(C25,'SOR RATE'!A:D,4,0)</f>
        <v>74</v>
      </c>
      <c r="G25" s="205">
        <f t="shared" si="0"/>
        <v>74</v>
      </c>
    </row>
    <row r="26" spans="1:7" ht="14.25" customHeight="1">
      <c r="A26" s="1161">
        <v>14</v>
      </c>
      <c r="B26" s="616" t="s">
        <v>310</v>
      </c>
      <c r="C26" s="611"/>
      <c r="D26" s="212" t="s">
        <v>458</v>
      </c>
      <c r="E26" s="299">
        <v>6</v>
      </c>
      <c r="F26" s="595"/>
      <c r="G26" s="595"/>
    </row>
    <row r="27" spans="1:7" ht="12.75">
      <c r="A27" s="1162"/>
      <c r="B27" s="364" t="s">
        <v>438</v>
      </c>
      <c r="C27" s="962">
        <v>7130620609</v>
      </c>
      <c r="D27" s="335" t="s">
        <v>458</v>
      </c>
      <c r="E27" s="211">
        <v>0.5</v>
      </c>
      <c r="F27" s="205">
        <f>VLOOKUP(C27,'SOR RATE'!A:D,4,0)</f>
        <v>64</v>
      </c>
      <c r="G27" s="593">
        <f>F27*E27</f>
        <v>32</v>
      </c>
    </row>
    <row r="28" spans="1:7" ht="12.75">
      <c r="A28" s="1162"/>
      <c r="B28" s="364" t="s">
        <v>1336</v>
      </c>
      <c r="C28" s="291">
        <v>7130620614</v>
      </c>
      <c r="D28" s="204" t="s">
        <v>458</v>
      </c>
      <c r="E28" s="204">
        <v>2.5</v>
      </c>
      <c r="F28" s="205">
        <f>VLOOKUP(C28,'SOR RATE'!A:D,4,0)</f>
        <v>63</v>
      </c>
      <c r="G28" s="205">
        <f>F28*E28</f>
        <v>157.5</v>
      </c>
    </row>
    <row r="29" spans="1:7" ht="12.75">
      <c r="A29" s="1163"/>
      <c r="B29" s="364" t="s">
        <v>1345</v>
      </c>
      <c r="C29" s="291">
        <v>7130620631</v>
      </c>
      <c r="D29" s="204" t="s">
        <v>458</v>
      </c>
      <c r="E29" s="204">
        <v>3</v>
      </c>
      <c r="F29" s="205">
        <f>VLOOKUP(C29,'SOR RATE'!A:D,4,0)</f>
        <v>62</v>
      </c>
      <c r="G29" s="205">
        <f>F29*E29</f>
        <v>186</v>
      </c>
    </row>
    <row r="30" spans="1:9" ht="12.75">
      <c r="A30" s="218">
        <v>15</v>
      </c>
      <c r="B30" s="168" t="s">
        <v>1576</v>
      </c>
      <c r="C30" s="218"/>
      <c r="D30" s="218"/>
      <c r="E30" s="218"/>
      <c r="F30" s="392"/>
      <c r="G30" s="220">
        <f>SUM(G8:G29)</f>
        <v>38668.81620999999</v>
      </c>
      <c r="H30" s="323"/>
      <c r="I30" s="32"/>
    </row>
    <row r="31" spans="1:9" ht="14.25" customHeight="1">
      <c r="A31" s="209">
        <v>16</v>
      </c>
      <c r="B31" s="158" t="s">
        <v>1575</v>
      </c>
      <c r="C31" s="617"/>
      <c r="D31" s="618"/>
      <c r="E31" s="618"/>
      <c r="F31" s="210">
        <v>0.09</v>
      </c>
      <c r="G31" s="221">
        <f>G30*F31</f>
        <v>3480.193458899999</v>
      </c>
      <c r="H31" s="323"/>
      <c r="I31" s="600"/>
    </row>
    <row r="32" spans="1:10" ht="13.5" customHeight="1">
      <c r="A32" s="162">
        <v>17</v>
      </c>
      <c r="B32" s="369" t="s">
        <v>1372</v>
      </c>
      <c r="C32" s="619"/>
      <c r="D32" s="162" t="s">
        <v>454</v>
      </c>
      <c r="E32" s="162">
        <v>1.9</v>
      </c>
      <c r="F32" s="160">
        <f>1664*1.27*1.0891*1.086275*1.1112*1.0685</f>
        <v>2968.460981603261</v>
      </c>
      <c r="G32" s="1090">
        <f>F32*E32</f>
        <v>5640.075865046196</v>
      </c>
      <c r="H32" s="620"/>
      <c r="I32" s="402"/>
      <c r="J32" s="403"/>
    </row>
    <row r="33" spans="1:9" ht="15.75">
      <c r="A33" s="204">
        <v>18</v>
      </c>
      <c r="B33" s="206" t="s">
        <v>1298</v>
      </c>
      <c r="C33" s="204"/>
      <c r="D33" s="204"/>
      <c r="E33" s="204"/>
      <c r="F33" s="371"/>
      <c r="G33" s="282">
        <v>6987.1</v>
      </c>
      <c r="H33" s="432"/>
      <c r="I33" s="294"/>
    </row>
    <row r="34" spans="1:7" ht="38.25" customHeight="1">
      <c r="A34" s="204">
        <v>19</v>
      </c>
      <c r="B34" s="207" t="s">
        <v>318</v>
      </c>
      <c r="C34" s="162"/>
      <c r="D34" s="204"/>
      <c r="E34" s="204"/>
      <c r="F34" s="371"/>
      <c r="G34" s="205">
        <f>1.1*1.1*1559*1.2*1.1*1.1797*1.1402*0.9368</f>
        <v>3137.653018373385</v>
      </c>
    </row>
    <row r="35" spans="1:8" ht="16.5" customHeight="1">
      <c r="A35" s="218">
        <v>20</v>
      </c>
      <c r="B35" s="168" t="s">
        <v>1577</v>
      </c>
      <c r="C35" s="162"/>
      <c r="D35" s="204"/>
      <c r="E35" s="204"/>
      <c r="F35" s="371"/>
      <c r="G35" s="220">
        <f>G30+G31+G32+G33+G34</f>
        <v>57913.83855231957</v>
      </c>
      <c r="H35" s="327"/>
    </row>
    <row r="36" spans="1:8" ht="30" customHeight="1">
      <c r="A36" s="204">
        <v>21</v>
      </c>
      <c r="B36" s="158" t="s">
        <v>1578</v>
      </c>
      <c r="C36" s="162"/>
      <c r="D36" s="204"/>
      <c r="E36" s="204"/>
      <c r="F36" s="205">
        <v>0.11</v>
      </c>
      <c r="G36" s="205">
        <f>G30*F36</f>
        <v>4253.569783099999</v>
      </c>
      <c r="H36" s="327"/>
    </row>
    <row r="37" spans="1:7" ht="12.75">
      <c r="A37" s="204">
        <v>22</v>
      </c>
      <c r="B37" s="206" t="s">
        <v>1331</v>
      </c>
      <c r="C37" s="204"/>
      <c r="D37" s="204"/>
      <c r="E37" s="204"/>
      <c r="F37" s="371"/>
      <c r="G37" s="205">
        <f>G35+G36</f>
        <v>62167.40833541957</v>
      </c>
    </row>
    <row r="38" spans="1:7" ht="14.25" customHeight="1">
      <c r="A38" s="218">
        <v>23</v>
      </c>
      <c r="B38" s="353" t="s">
        <v>1056</v>
      </c>
      <c r="C38" s="218"/>
      <c r="D38" s="218"/>
      <c r="E38" s="218"/>
      <c r="F38" s="392"/>
      <c r="G38" s="68">
        <f>ROUND(G37,0)</f>
        <v>62167</v>
      </c>
    </row>
    <row r="39" spans="1:7" ht="12.75">
      <c r="A39" s="89"/>
      <c r="B39" s="65"/>
      <c r="C39" s="65"/>
      <c r="D39" s="65"/>
      <c r="E39" s="65"/>
      <c r="F39" s="390"/>
      <c r="G39" s="65"/>
    </row>
    <row r="40" spans="1:6" ht="12.75">
      <c r="A40" s="415" t="s">
        <v>461</v>
      </c>
      <c r="B40" s="416" t="s">
        <v>280</v>
      </c>
      <c r="C40" s="271"/>
      <c r="D40" s="354"/>
      <c r="F40" s="389"/>
    </row>
    <row r="54" spans="2:3" ht="15.75">
      <c r="B54" s="1145" t="s">
        <v>549</v>
      </c>
      <c r="C54" s="1145"/>
    </row>
    <row r="56" spans="2:4" ht="12.75">
      <c r="B56" s="206" t="s">
        <v>854</v>
      </c>
      <c r="C56" s="291">
        <v>7130820155</v>
      </c>
      <c r="D56" s="204" t="s">
        <v>452</v>
      </c>
    </row>
  </sheetData>
  <sheetProtection/>
  <mergeCells count="8">
    <mergeCell ref="B54:C54"/>
    <mergeCell ref="A26:A29"/>
    <mergeCell ref="F1:G1"/>
    <mergeCell ref="B2:D2"/>
    <mergeCell ref="B4:F4"/>
    <mergeCell ref="A13:A15"/>
    <mergeCell ref="A16:A18"/>
    <mergeCell ref="A19:A20"/>
  </mergeCells>
  <printOptions gridLines="1" horizontalCentered="1"/>
  <pageMargins left="0.59" right="0.15" top="1.42" bottom="0.4" header="0.22" footer="0.16"/>
  <pageSetup fitToHeight="2" horizontalDpi="300" verticalDpi="3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V101"/>
  <sheetViews>
    <sheetView zoomScaleSheetLayoutView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00390625" style="624" bestFit="1" customWidth="1"/>
    <col min="2" max="2" width="34.140625" style="625" customWidth="1"/>
    <col min="3" max="3" width="11.421875" style="626" customWidth="1"/>
    <col min="4" max="4" width="5.8515625" style="621" bestFit="1" customWidth="1"/>
    <col min="5" max="5" width="5.00390625" style="624" bestFit="1" customWidth="1"/>
    <col min="6" max="6" width="8.57421875" style="621" bestFit="1" customWidth="1"/>
    <col min="7" max="7" width="9.57421875" style="621" bestFit="1" customWidth="1"/>
    <col min="8" max="8" width="5.00390625" style="624" bestFit="1" customWidth="1"/>
    <col min="9" max="9" width="8.57421875" style="621" bestFit="1" customWidth="1"/>
    <col min="10" max="10" width="9.57421875" style="621" bestFit="1" customWidth="1"/>
    <col min="11" max="11" width="6.7109375" style="624" customWidth="1"/>
    <col min="12" max="13" width="9.57421875" style="621" bestFit="1" customWidth="1"/>
    <col min="14" max="14" width="6.7109375" style="624" customWidth="1"/>
    <col min="15" max="16" width="9.7109375" style="32" customWidth="1"/>
    <col min="17" max="17" width="17.421875" style="32" bestFit="1" customWidth="1"/>
    <col min="18" max="18" width="8.00390625" style="32" customWidth="1"/>
    <col min="19" max="19" width="23.57421875" style="32" customWidth="1"/>
    <col min="20" max="20" width="11.00390625" style="32" bestFit="1" customWidth="1"/>
    <col min="21" max="21" width="7.00390625" style="32" bestFit="1" customWidth="1"/>
    <col min="22" max="22" width="11.00390625" style="32" bestFit="1" customWidth="1"/>
    <col min="23" max="16384" width="9.140625" style="32" customWidth="1"/>
  </cols>
  <sheetData>
    <row r="1" spans="1:16" ht="18">
      <c r="A1" s="621"/>
      <c r="B1" s="622"/>
      <c r="C1" s="623"/>
      <c r="D1" s="1250" t="s">
        <v>167</v>
      </c>
      <c r="E1" s="1251"/>
      <c r="F1" s="1251"/>
      <c r="G1" s="1251"/>
      <c r="H1" s="1251"/>
      <c r="I1" s="1251"/>
      <c r="J1" s="1251"/>
      <c r="K1" s="622"/>
      <c r="L1" s="622"/>
      <c r="M1" s="622"/>
      <c r="N1" s="622"/>
      <c r="O1" s="622"/>
      <c r="P1" s="622"/>
    </row>
    <row r="2" ht="16.5" customHeight="1">
      <c r="P2" s="1071" t="s">
        <v>551</v>
      </c>
    </row>
    <row r="3" spans="1:17" ht="34.5" customHeight="1">
      <c r="A3" s="621"/>
      <c r="B3" s="1164" t="s">
        <v>1299</v>
      </c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344"/>
      <c r="O3" s="344"/>
      <c r="P3" s="344"/>
      <c r="Q3" s="344"/>
    </row>
    <row r="4" spans="1:17" ht="12.75">
      <c r="A4" s="352"/>
      <c r="B4" s="344"/>
      <c r="C4" s="352"/>
      <c r="D4" s="352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1:16" ht="18" customHeight="1">
      <c r="A5" s="1252" t="s">
        <v>1335</v>
      </c>
      <c r="B5" s="1252" t="s">
        <v>449</v>
      </c>
      <c r="C5" s="1242" t="s">
        <v>53</v>
      </c>
      <c r="D5" s="1144" t="s">
        <v>450</v>
      </c>
      <c r="E5" s="1144" t="s">
        <v>1300</v>
      </c>
      <c r="F5" s="1144"/>
      <c r="G5" s="1144"/>
      <c r="H5" s="1144" t="s">
        <v>1301</v>
      </c>
      <c r="I5" s="1144"/>
      <c r="J5" s="1144"/>
      <c r="K5" s="1144" t="s">
        <v>1302</v>
      </c>
      <c r="L5" s="1144"/>
      <c r="M5" s="1144"/>
      <c r="N5" s="1144" t="s">
        <v>1303</v>
      </c>
      <c r="O5" s="1144"/>
      <c r="P5" s="1144"/>
    </row>
    <row r="6" spans="1:16" ht="12.75">
      <c r="A6" s="1252"/>
      <c r="B6" s="1252"/>
      <c r="C6" s="1242"/>
      <c r="D6" s="1144"/>
      <c r="E6" s="218" t="s">
        <v>1315</v>
      </c>
      <c r="F6" s="218" t="s">
        <v>799</v>
      </c>
      <c r="G6" s="218" t="s">
        <v>800</v>
      </c>
      <c r="H6" s="218" t="s">
        <v>1315</v>
      </c>
      <c r="I6" s="218" t="s">
        <v>1309</v>
      </c>
      <c r="J6" s="218" t="s">
        <v>800</v>
      </c>
      <c r="K6" s="218" t="s">
        <v>1315</v>
      </c>
      <c r="L6" s="218" t="s">
        <v>799</v>
      </c>
      <c r="M6" s="218" t="s">
        <v>800</v>
      </c>
      <c r="N6" s="218" t="s">
        <v>1315</v>
      </c>
      <c r="O6" s="218" t="s">
        <v>799</v>
      </c>
      <c r="P6" s="218" t="s">
        <v>800</v>
      </c>
    </row>
    <row r="7" spans="1:16" ht="13.5" customHeight="1">
      <c r="A7" s="632">
        <v>1</v>
      </c>
      <c r="B7" s="633">
        <v>2</v>
      </c>
      <c r="C7" s="632">
        <v>3</v>
      </c>
      <c r="D7" s="632">
        <v>4</v>
      </c>
      <c r="E7" s="632">
        <v>5</v>
      </c>
      <c r="F7" s="632">
        <v>6</v>
      </c>
      <c r="G7" s="632">
        <v>7</v>
      </c>
      <c r="H7" s="632">
        <v>8</v>
      </c>
      <c r="I7" s="632">
        <v>9</v>
      </c>
      <c r="J7" s="632">
        <v>10</v>
      </c>
      <c r="K7" s="632">
        <v>11</v>
      </c>
      <c r="L7" s="632">
        <v>12</v>
      </c>
      <c r="M7" s="632">
        <v>13</v>
      </c>
      <c r="N7" s="632">
        <v>14</v>
      </c>
      <c r="O7" s="218">
        <v>15</v>
      </c>
      <c r="P7" s="218">
        <v>16</v>
      </c>
    </row>
    <row r="8" spans="1:16" ht="12.75">
      <c r="A8" s="1245">
        <v>1</v>
      </c>
      <c r="B8" s="635" t="s">
        <v>1304</v>
      </c>
      <c r="C8" s="293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7"/>
    </row>
    <row r="9" spans="1:16" ht="16.5" customHeight="1">
      <c r="A9" s="1246"/>
      <c r="B9" s="213" t="s">
        <v>1305</v>
      </c>
      <c r="C9" s="636">
        <v>7132210008</v>
      </c>
      <c r="D9" s="286" t="s">
        <v>1553</v>
      </c>
      <c r="E9" s="286">
        <v>1</v>
      </c>
      <c r="F9" s="282">
        <f>VLOOKUP(C9,'SOR RATE'!A:D,4,0)</f>
        <v>54268</v>
      </c>
      <c r="G9" s="282">
        <f>F9*E9</f>
        <v>54268</v>
      </c>
      <c r="H9" s="286"/>
      <c r="I9" s="282"/>
      <c r="J9" s="282"/>
      <c r="K9" s="286"/>
      <c r="L9" s="282"/>
      <c r="M9" s="282"/>
      <c r="N9" s="286"/>
      <c r="O9" s="637"/>
      <c r="P9" s="637"/>
    </row>
    <row r="10" spans="1:20" ht="16.5" customHeight="1">
      <c r="A10" s="1246"/>
      <c r="B10" s="213" t="s">
        <v>1275</v>
      </c>
      <c r="C10" s="636">
        <v>7132210009</v>
      </c>
      <c r="D10" s="286" t="s">
        <v>1553</v>
      </c>
      <c r="E10" s="286"/>
      <c r="F10" s="282"/>
      <c r="G10" s="282"/>
      <c r="H10" s="286">
        <v>1</v>
      </c>
      <c r="I10" s="282">
        <f>VLOOKUP(C10,'SOR RATE'!A:D,4,0)</f>
        <v>88254</v>
      </c>
      <c r="J10" s="282">
        <f>I10*H10</f>
        <v>88254</v>
      </c>
      <c r="K10" s="286"/>
      <c r="L10" s="282"/>
      <c r="M10" s="282"/>
      <c r="N10" s="286"/>
      <c r="O10" s="637"/>
      <c r="P10" s="637"/>
      <c r="Q10" s="323"/>
      <c r="R10" s="600"/>
      <c r="S10" s="600" t="s">
        <v>1276</v>
      </c>
      <c r="T10" s="600"/>
    </row>
    <row r="11" spans="1:16" ht="16.5" customHeight="1">
      <c r="A11" s="1246"/>
      <c r="B11" s="213" t="s">
        <v>1306</v>
      </c>
      <c r="C11" s="636">
        <v>7132210010</v>
      </c>
      <c r="D11" s="286" t="s">
        <v>1553</v>
      </c>
      <c r="E11" s="286"/>
      <c r="F11" s="282"/>
      <c r="G11" s="282"/>
      <c r="H11" s="286"/>
      <c r="I11" s="282"/>
      <c r="J11" s="282"/>
      <c r="K11" s="286">
        <v>1</v>
      </c>
      <c r="L11" s="282">
        <f>VLOOKUP(C11,'SOR RATE'!A:D,4,0)</f>
        <v>119054</v>
      </c>
      <c r="M11" s="282">
        <f>L11*K11</f>
        <v>119054</v>
      </c>
      <c r="N11" s="286"/>
      <c r="O11" s="637"/>
      <c r="P11" s="637"/>
    </row>
    <row r="12" spans="1:16" ht="13.5" customHeight="1">
      <c r="A12" s="1247"/>
      <c r="B12" s="213" t="s">
        <v>1307</v>
      </c>
      <c r="C12" s="636">
        <v>7132210011</v>
      </c>
      <c r="D12" s="286" t="s">
        <v>1553</v>
      </c>
      <c r="E12" s="286"/>
      <c r="F12" s="282"/>
      <c r="G12" s="282"/>
      <c r="H12" s="286"/>
      <c r="I12" s="282"/>
      <c r="J12" s="282"/>
      <c r="K12" s="286"/>
      <c r="L12" s="282"/>
      <c r="M12" s="282"/>
      <c r="N12" s="286">
        <v>1</v>
      </c>
      <c r="O12" s="637">
        <f>VLOOKUP(C12,'SOR RATE'!A:D,4,0)</f>
        <v>220748</v>
      </c>
      <c r="P12" s="282">
        <f>O12*N12</f>
        <v>220748</v>
      </c>
    </row>
    <row r="13" spans="1:16" ht="15" customHeight="1">
      <c r="A13" s="1245">
        <v>2</v>
      </c>
      <c r="B13" s="638" t="s">
        <v>8</v>
      </c>
      <c r="C13" s="636">
        <v>7130800012</v>
      </c>
      <c r="D13" s="286" t="s">
        <v>452</v>
      </c>
      <c r="E13" s="286">
        <v>3</v>
      </c>
      <c r="F13" s="282">
        <f>VLOOKUP(C13,'SOR RATE'!A:D,4,0)</f>
        <v>1654</v>
      </c>
      <c r="G13" s="282">
        <f>F13*E13</f>
        <v>4962</v>
      </c>
      <c r="H13" s="286">
        <v>3</v>
      </c>
      <c r="I13" s="282">
        <f>+F13</f>
        <v>1654</v>
      </c>
      <c r="J13" s="282">
        <f>I13*H13</f>
        <v>4962</v>
      </c>
      <c r="K13" s="639" t="s">
        <v>453</v>
      </c>
      <c r="L13" s="639" t="s">
        <v>453</v>
      </c>
      <c r="M13" s="639" t="s">
        <v>453</v>
      </c>
      <c r="N13" s="639" t="s">
        <v>453</v>
      </c>
      <c r="O13" s="639" t="s">
        <v>453</v>
      </c>
      <c r="P13" s="639" t="s">
        <v>453</v>
      </c>
    </row>
    <row r="14" spans="1:16" ht="53.25" customHeight="1">
      <c r="A14" s="1247"/>
      <c r="B14" s="635" t="s">
        <v>9</v>
      </c>
      <c r="C14" s="636">
        <v>7130600675</v>
      </c>
      <c r="D14" s="286" t="s">
        <v>458</v>
      </c>
      <c r="E14" s="640"/>
      <c r="F14" s="282"/>
      <c r="G14" s="282"/>
      <c r="H14" s="640"/>
      <c r="I14" s="641"/>
      <c r="J14" s="282"/>
      <c r="K14" s="286">
        <f>19.495*11*4</f>
        <v>857.7800000000001</v>
      </c>
      <c r="L14" s="282">
        <f>VLOOKUP(C14,'SOR RATE'!A:D,4,0)/1000</f>
        <v>44.989</v>
      </c>
      <c r="M14" s="282">
        <f>L14*K14</f>
        <v>38590.66442</v>
      </c>
      <c r="N14" s="286">
        <f>+K14</f>
        <v>857.7800000000001</v>
      </c>
      <c r="O14" s="282">
        <f>+L14</f>
        <v>44.989</v>
      </c>
      <c r="P14" s="282">
        <f aca="true" t="shared" si="0" ref="P14:P23">O14*N14</f>
        <v>38590.66442</v>
      </c>
    </row>
    <row r="15" spans="1:16" ht="17.25" customHeight="1">
      <c r="A15" s="286">
        <v>3</v>
      </c>
      <c r="B15" s="635" t="s">
        <v>10</v>
      </c>
      <c r="C15" s="636">
        <v>7130810517</v>
      </c>
      <c r="D15" s="286" t="s">
        <v>452</v>
      </c>
      <c r="E15" s="286">
        <v>1</v>
      </c>
      <c r="F15" s="282">
        <f>VLOOKUP(C15,'SOR RATE'!A:D,4,0)</f>
        <v>4547</v>
      </c>
      <c r="G15" s="282">
        <f aca="true" t="shared" si="1" ref="G15:G24">F15*E15</f>
        <v>4547</v>
      </c>
      <c r="H15" s="286">
        <v>1</v>
      </c>
      <c r="I15" s="282">
        <f aca="true" t="shared" si="2" ref="I15:I28">+F15</f>
        <v>4547</v>
      </c>
      <c r="J15" s="282">
        <f aca="true" t="shared" si="3" ref="J15:J24">I15*H15</f>
        <v>4547</v>
      </c>
      <c r="K15" s="286">
        <v>1</v>
      </c>
      <c r="L15" s="282">
        <f aca="true" t="shared" si="4" ref="L15:L28">+F15</f>
        <v>4547</v>
      </c>
      <c r="M15" s="282">
        <f aca="true" t="shared" si="5" ref="M15:M24">L15*K15</f>
        <v>4547</v>
      </c>
      <c r="N15" s="286">
        <v>1</v>
      </c>
      <c r="O15" s="282">
        <f aca="true" t="shared" si="6" ref="O15:O27">+F15</f>
        <v>4547</v>
      </c>
      <c r="P15" s="282">
        <f t="shared" si="0"/>
        <v>4547</v>
      </c>
    </row>
    <row r="16" spans="1:19" ht="12.75">
      <c r="A16" s="1245">
        <v>4</v>
      </c>
      <c r="B16" s="635" t="s">
        <v>1030</v>
      </c>
      <c r="C16" s="636">
        <v>7130820010</v>
      </c>
      <c r="D16" s="286" t="s">
        <v>452</v>
      </c>
      <c r="E16" s="286">
        <v>3</v>
      </c>
      <c r="F16" s="282">
        <f>VLOOKUP(C16,'SOR RATE'!A:D,4,0)</f>
        <v>140</v>
      </c>
      <c r="G16" s="282">
        <f t="shared" si="1"/>
        <v>420</v>
      </c>
      <c r="H16" s="286">
        <v>3</v>
      </c>
      <c r="I16" s="282">
        <f t="shared" si="2"/>
        <v>140</v>
      </c>
      <c r="J16" s="282">
        <f t="shared" si="3"/>
        <v>420</v>
      </c>
      <c r="K16" s="286">
        <v>3</v>
      </c>
      <c r="L16" s="282">
        <f t="shared" si="4"/>
        <v>140</v>
      </c>
      <c r="M16" s="282">
        <f t="shared" si="5"/>
        <v>420</v>
      </c>
      <c r="N16" s="286">
        <v>3</v>
      </c>
      <c r="O16" s="282">
        <f t="shared" si="6"/>
        <v>140</v>
      </c>
      <c r="P16" s="282">
        <f t="shared" si="0"/>
        <v>420</v>
      </c>
      <c r="S16" s="32" t="s">
        <v>1031</v>
      </c>
    </row>
    <row r="17" spans="1:16" ht="12.75">
      <c r="A17" s="1247"/>
      <c r="B17" s="635" t="s">
        <v>11</v>
      </c>
      <c r="C17" s="636">
        <v>7130820241</v>
      </c>
      <c r="D17" s="286" t="s">
        <v>803</v>
      </c>
      <c r="E17" s="286">
        <v>3</v>
      </c>
      <c r="F17" s="282">
        <f>VLOOKUP(C17,'SOR RATE'!A:D,4,0)</f>
        <v>123</v>
      </c>
      <c r="G17" s="282">
        <f t="shared" si="1"/>
        <v>369</v>
      </c>
      <c r="H17" s="286">
        <v>3</v>
      </c>
      <c r="I17" s="282">
        <f t="shared" si="2"/>
        <v>123</v>
      </c>
      <c r="J17" s="282">
        <f t="shared" si="3"/>
        <v>369</v>
      </c>
      <c r="K17" s="286">
        <v>3</v>
      </c>
      <c r="L17" s="282">
        <f t="shared" si="4"/>
        <v>123</v>
      </c>
      <c r="M17" s="282">
        <f t="shared" si="5"/>
        <v>369</v>
      </c>
      <c r="N17" s="286">
        <v>3</v>
      </c>
      <c r="O17" s="282">
        <f t="shared" si="6"/>
        <v>123</v>
      </c>
      <c r="P17" s="282">
        <f t="shared" si="0"/>
        <v>369</v>
      </c>
    </row>
    <row r="18" spans="1:19" ht="12.75">
      <c r="A18" s="642">
        <v>5</v>
      </c>
      <c r="B18" s="206" t="s">
        <v>1545</v>
      </c>
      <c r="C18" s="291">
        <v>7130820008</v>
      </c>
      <c r="D18" s="204" t="s">
        <v>452</v>
      </c>
      <c r="E18" s="286">
        <v>6</v>
      </c>
      <c r="F18" s="282">
        <f>VLOOKUP(C18,'SOR RATE'!A:D,4,0)</f>
        <v>157</v>
      </c>
      <c r="G18" s="282">
        <f t="shared" si="1"/>
        <v>942</v>
      </c>
      <c r="H18" s="286">
        <v>6</v>
      </c>
      <c r="I18" s="282">
        <f t="shared" si="2"/>
        <v>157</v>
      </c>
      <c r="J18" s="282">
        <f t="shared" si="3"/>
        <v>942</v>
      </c>
      <c r="K18" s="286">
        <v>6</v>
      </c>
      <c r="L18" s="282">
        <f t="shared" si="4"/>
        <v>157</v>
      </c>
      <c r="M18" s="282">
        <f t="shared" si="5"/>
        <v>942</v>
      </c>
      <c r="N18" s="286">
        <v>6</v>
      </c>
      <c r="O18" s="282">
        <f t="shared" si="6"/>
        <v>157</v>
      </c>
      <c r="P18" s="282">
        <f t="shared" si="0"/>
        <v>942</v>
      </c>
      <c r="Q18" s="327"/>
      <c r="S18" s="32" t="s">
        <v>383</v>
      </c>
    </row>
    <row r="19" spans="1:16" ht="28.5" customHeight="1">
      <c r="A19" s="634">
        <v>6</v>
      </c>
      <c r="B19" s="643" t="s">
        <v>12</v>
      </c>
      <c r="C19" s="295">
        <v>7130810509</v>
      </c>
      <c r="D19" s="611" t="s">
        <v>452</v>
      </c>
      <c r="E19" s="611">
        <v>1</v>
      </c>
      <c r="F19" s="282">
        <f>VLOOKUP(C19,'SOR RATE'!A205:D205,4,0)</f>
        <v>3322</v>
      </c>
      <c r="G19" s="282">
        <f t="shared" si="1"/>
        <v>3322</v>
      </c>
      <c r="H19" s="611">
        <v>1</v>
      </c>
      <c r="I19" s="282">
        <f t="shared" si="2"/>
        <v>3322</v>
      </c>
      <c r="J19" s="282">
        <f t="shared" si="3"/>
        <v>3322</v>
      </c>
      <c r="K19" s="611">
        <v>1</v>
      </c>
      <c r="L19" s="282">
        <f t="shared" si="4"/>
        <v>3322</v>
      </c>
      <c r="M19" s="282">
        <f t="shared" si="5"/>
        <v>3322</v>
      </c>
      <c r="N19" s="611">
        <v>1</v>
      </c>
      <c r="O19" s="282">
        <f t="shared" si="6"/>
        <v>3322</v>
      </c>
      <c r="P19" s="282">
        <f t="shared" si="0"/>
        <v>3322</v>
      </c>
    </row>
    <row r="20" spans="1:16" ht="16.5" customHeight="1">
      <c r="A20" s="286">
        <v>7</v>
      </c>
      <c r="B20" s="635" t="s">
        <v>1064</v>
      </c>
      <c r="C20" s="636">
        <v>7131930412</v>
      </c>
      <c r="D20" s="286" t="s">
        <v>1553</v>
      </c>
      <c r="E20" s="286">
        <v>3</v>
      </c>
      <c r="F20" s="282">
        <f>VLOOKUP(C20,'SOR RATE'!A:D,4,0)</f>
        <v>1199</v>
      </c>
      <c r="G20" s="282">
        <f t="shared" si="1"/>
        <v>3597</v>
      </c>
      <c r="H20" s="286">
        <v>3</v>
      </c>
      <c r="I20" s="282">
        <f t="shared" si="2"/>
        <v>1199</v>
      </c>
      <c r="J20" s="282">
        <f t="shared" si="3"/>
        <v>3597</v>
      </c>
      <c r="K20" s="286">
        <v>3</v>
      </c>
      <c r="L20" s="282">
        <f t="shared" si="4"/>
        <v>1199</v>
      </c>
      <c r="M20" s="282">
        <f t="shared" si="5"/>
        <v>3597</v>
      </c>
      <c r="N20" s="286">
        <v>3</v>
      </c>
      <c r="O20" s="282">
        <f t="shared" si="6"/>
        <v>1199</v>
      </c>
      <c r="P20" s="282">
        <f t="shared" si="0"/>
        <v>3597</v>
      </c>
    </row>
    <row r="21" spans="1:16" ht="27.75" customHeight="1">
      <c r="A21" s="642">
        <v>8</v>
      </c>
      <c r="B21" s="635" t="s">
        <v>13</v>
      </c>
      <c r="C21" s="644">
        <v>7130600023</v>
      </c>
      <c r="D21" s="644" t="s">
        <v>458</v>
      </c>
      <c r="E21" s="286">
        <v>20</v>
      </c>
      <c r="F21" s="282">
        <f>VLOOKUP(C21,'SOR RATE'!A:D,4,0)/1000</f>
        <v>40.214</v>
      </c>
      <c r="G21" s="282">
        <f t="shared" si="1"/>
        <v>804.28</v>
      </c>
      <c r="H21" s="286">
        <v>20</v>
      </c>
      <c r="I21" s="282">
        <f>+F21</f>
        <v>40.214</v>
      </c>
      <c r="J21" s="282">
        <f t="shared" si="3"/>
        <v>804.28</v>
      </c>
      <c r="K21" s="286">
        <v>20</v>
      </c>
      <c r="L21" s="282">
        <f>+F21</f>
        <v>40.214</v>
      </c>
      <c r="M21" s="282">
        <f t="shared" si="5"/>
        <v>804.28</v>
      </c>
      <c r="N21" s="286">
        <v>20</v>
      </c>
      <c r="O21" s="282">
        <f>+F21</f>
        <v>40.214</v>
      </c>
      <c r="P21" s="282">
        <f t="shared" si="0"/>
        <v>804.28</v>
      </c>
    </row>
    <row r="22" spans="1:16" ht="18" customHeight="1">
      <c r="A22" s="1245">
        <v>9</v>
      </c>
      <c r="B22" s="213" t="s">
        <v>14</v>
      </c>
      <c r="C22" s="636">
        <v>7130860032</v>
      </c>
      <c r="D22" s="286" t="s">
        <v>452</v>
      </c>
      <c r="E22" s="210">
        <v>4</v>
      </c>
      <c r="F22" s="282">
        <f>VLOOKUP(C22,'SOR RATE'!A:D,4,0)</f>
        <v>387</v>
      </c>
      <c r="G22" s="282">
        <f t="shared" si="1"/>
        <v>1548</v>
      </c>
      <c r="H22" s="210">
        <v>4</v>
      </c>
      <c r="I22" s="282">
        <f t="shared" si="2"/>
        <v>387</v>
      </c>
      <c r="J22" s="282">
        <f t="shared" si="3"/>
        <v>1548</v>
      </c>
      <c r="K22" s="210">
        <v>4</v>
      </c>
      <c r="L22" s="282">
        <f t="shared" si="4"/>
        <v>387</v>
      </c>
      <c r="M22" s="282">
        <f t="shared" si="5"/>
        <v>1548</v>
      </c>
      <c r="N22" s="286">
        <v>4</v>
      </c>
      <c r="O22" s="282">
        <f t="shared" si="6"/>
        <v>387</v>
      </c>
      <c r="P22" s="282">
        <f t="shared" si="0"/>
        <v>1548</v>
      </c>
    </row>
    <row r="23" spans="1:16" ht="30.75" customHeight="1">
      <c r="A23" s="1246"/>
      <c r="B23" s="635" t="s">
        <v>1373</v>
      </c>
      <c r="C23" s="636">
        <v>7130860077</v>
      </c>
      <c r="D23" s="286" t="s">
        <v>458</v>
      </c>
      <c r="E23" s="286">
        <v>22</v>
      </c>
      <c r="F23" s="282">
        <f>VLOOKUP(C23,'SOR RATE'!A:D,4,0)/1000</f>
        <v>61.6</v>
      </c>
      <c r="G23" s="282">
        <f t="shared" si="1"/>
        <v>1355.2</v>
      </c>
      <c r="H23" s="286">
        <v>22</v>
      </c>
      <c r="I23" s="282">
        <f t="shared" si="2"/>
        <v>61.6</v>
      </c>
      <c r="J23" s="282">
        <f t="shared" si="3"/>
        <v>1355.2</v>
      </c>
      <c r="K23" s="286">
        <v>22</v>
      </c>
      <c r="L23" s="282">
        <f t="shared" si="4"/>
        <v>61.6</v>
      </c>
      <c r="M23" s="282">
        <f t="shared" si="5"/>
        <v>1355.2</v>
      </c>
      <c r="N23" s="286">
        <v>22</v>
      </c>
      <c r="O23" s="282">
        <f t="shared" si="6"/>
        <v>61.6</v>
      </c>
      <c r="P23" s="282">
        <f t="shared" si="0"/>
        <v>1355.2</v>
      </c>
    </row>
    <row r="24" spans="1:16" ht="15" customHeight="1">
      <c r="A24" s="1246"/>
      <c r="B24" s="635" t="s">
        <v>330</v>
      </c>
      <c r="C24" s="645">
        <v>7130810026</v>
      </c>
      <c r="D24" s="286" t="s">
        <v>452</v>
      </c>
      <c r="E24" s="286">
        <v>4</v>
      </c>
      <c r="F24" s="282">
        <f>VLOOKUP(C24,'SOR RATE'!A:D,4,0)</f>
        <v>142</v>
      </c>
      <c r="G24" s="282">
        <f t="shared" si="1"/>
        <v>568</v>
      </c>
      <c r="H24" s="286">
        <v>4</v>
      </c>
      <c r="I24" s="282">
        <f t="shared" si="2"/>
        <v>142</v>
      </c>
      <c r="J24" s="282">
        <f t="shared" si="3"/>
        <v>568</v>
      </c>
      <c r="K24" s="286">
        <v>4</v>
      </c>
      <c r="L24" s="282">
        <f t="shared" si="4"/>
        <v>142</v>
      </c>
      <c r="M24" s="282">
        <f t="shared" si="5"/>
        <v>568</v>
      </c>
      <c r="N24" s="286"/>
      <c r="O24" s="282"/>
      <c r="P24" s="282"/>
    </row>
    <row r="25" spans="1:16" ht="42.75" customHeight="1">
      <c r="A25" s="1245">
        <v>10</v>
      </c>
      <c r="B25" s="169" t="s">
        <v>1374</v>
      </c>
      <c r="C25" s="636"/>
      <c r="D25" s="286" t="s">
        <v>454</v>
      </c>
      <c r="E25" s="286">
        <v>1.85</v>
      </c>
      <c r="F25" s="282"/>
      <c r="G25" s="282"/>
      <c r="H25" s="286">
        <v>1.85</v>
      </c>
      <c r="I25" s="282"/>
      <c r="J25" s="282"/>
      <c r="K25" s="596">
        <f>+H25</f>
        <v>1.85</v>
      </c>
      <c r="L25" s="221"/>
      <c r="M25" s="221"/>
      <c r="N25" s="596">
        <f>+K25</f>
        <v>1.85</v>
      </c>
      <c r="O25" s="646"/>
      <c r="P25" s="637"/>
    </row>
    <row r="26" spans="1:16" ht="15.75" customHeight="1">
      <c r="A26" s="1247"/>
      <c r="B26" s="213" t="s">
        <v>1375</v>
      </c>
      <c r="C26" s="636">
        <v>7130200401</v>
      </c>
      <c r="D26" s="647" t="s">
        <v>458</v>
      </c>
      <c r="E26" s="286">
        <f>1.85*208</f>
        <v>384.8</v>
      </c>
      <c r="F26" s="282">
        <f>VLOOKUP(C26,'SOR RATE'!A:D,4,0)/50</f>
        <v>5.36</v>
      </c>
      <c r="G26" s="282">
        <f>F26*E26</f>
        <v>2062.5280000000002</v>
      </c>
      <c r="H26" s="286">
        <f>1.85*208</f>
        <v>384.8</v>
      </c>
      <c r="I26" s="282">
        <f t="shared" si="2"/>
        <v>5.36</v>
      </c>
      <c r="J26" s="282">
        <f>I26*H26</f>
        <v>2062.5280000000002</v>
      </c>
      <c r="K26" s="286">
        <f>1.9*208</f>
        <v>395.2</v>
      </c>
      <c r="L26" s="282">
        <f t="shared" si="4"/>
        <v>5.36</v>
      </c>
      <c r="M26" s="282">
        <f>L26*K26</f>
        <v>2118.272</v>
      </c>
      <c r="N26" s="286">
        <f>1.9*208</f>
        <v>395.2</v>
      </c>
      <c r="O26" s="282">
        <f t="shared" si="6"/>
        <v>5.36</v>
      </c>
      <c r="P26" s="282">
        <f>O26*N26</f>
        <v>2118.272</v>
      </c>
    </row>
    <row r="27" spans="1:16" ht="25.5">
      <c r="A27" s="642">
        <v>11</v>
      </c>
      <c r="B27" s="289" t="s">
        <v>1376</v>
      </c>
      <c r="C27" s="636">
        <v>7130600023</v>
      </c>
      <c r="D27" s="647" t="s">
        <v>458</v>
      </c>
      <c r="E27" s="286">
        <v>34</v>
      </c>
      <c r="F27" s="282">
        <f>VLOOKUP(C27,'SOR RATE'!A:D,4,0)/1000</f>
        <v>40.214</v>
      </c>
      <c r="G27" s="282">
        <f>F27*E27</f>
        <v>1367.2759999999998</v>
      </c>
      <c r="H27" s="286">
        <v>34</v>
      </c>
      <c r="I27" s="282">
        <f t="shared" si="2"/>
        <v>40.214</v>
      </c>
      <c r="J27" s="282">
        <f>I27*H27</f>
        <v>1367.2759999999998</v>
      </c>
      <c r="K27" s="286">
        <v>34</v>
      </c>
      <c r="L27" s="282">
        <f t="shared" si="4"/>
        <v>40.214</v>
      </c>
      <c r="M27" s="282">
        <f>L27*K27</f>
        <v>1367.2759999999998</v>
      </c>
      <c r="N27" s="286">
        <v>34</v>
      </c>
      <c r="O27" s="282">
        <f t="shared" si="6"/>
        <v>40.214</v>
      </c>
      <c r="P27" s="282">
        <f>O27*N27</f>
        <v>1367.2759999999998</v>
      </c>
    </row>
    <row r="28" spans="1:16" ht="26.25" customHeight="1">
      <c r="A28" s="642">
        <v>12</v>
      </c>
      <c r="B28" s="635" t="s">
        <v>1377</v>
      </c>
      <c r="C28" s="636">
        <v>7130850201</v>
      </c>
      <c r="D28" s="286" t="s">
        <v>802</v>
      </c>
      <c r="E28" s="286">
        <v>1</v>
      </c>
      <c r="F28" s="282">
        <f>VLOOKUP(C28,'SOR RATE'!A:D,4,0)</f>
        <v>4547</v>
      </c>
      <c r="G28" s="282">
        <f>F28*E28</f>
        <v>4547</v>
      </c>
      <c r="H28" s="286">
        <v>1</v>
      </c>
      <c r="I28" s="282">
        <f t="shared" si="2"/>
        <v>4547</v>
      </c>
      <c r="J28" s="282">
        <f>I28*H28</f>
        <v>4547</v>
      </c>
      <c r="K28" s="286">
        <v>1</v>
      </c>
      <c r="L28" s="282">
        <f t="shared" si="4"/>
        <v>4547</v>
      </c>
      <c r="M28" s="282">
        <f>L28*K28</f>
        <v>4547</v>
      </c>
      <c r="N28" s="286">
        <v>1</v>
      </c>
      <c r="O28" s="282">
        <f>+F28</f>
        <v>4547</v>
      </c>
      <c r="P28" s="282">
        <f>O28*N28</f>
        <v>4547</v>
      </c>
    </row>
    <row r="29" spans="1:16" ht="14.25" customHeight="1">
      <c r="A29" s="642">
        <v>13</v>
      </c>
      <c r="B29" s="635" t="s">
        <v>1342</v>
      </c>
      <c r="C29" s="636">
        <v>7130880041</v>
      </c>
      <c r="D29" s="286" t="s">
        <v>1553</v>
      </c>
      <c r="E29" s="286">
        <v>1</v>
      </c>
      <c r="F29" s="282">
        <f>VLOOKUP(C29,'SOR RATE'!A:D,4,0)</f>
        <v>74</v>
      </c>
      <c r="G29" s="282">
        <f>F29*E29</f>
        <v>74</v>
      </c>
      <c r="H29" s="286">
        <v>1</v>
      </c>
      <c r="I29" s="282">
        <f>+F29</f>
        <v>74</v>
      </c>
      <c r="J29" s="282">
        <f>I29*H29</f>
        <v>74</v>
      </c>
      <c r="K29" s="286">
        <v>1</v>
      </c>
      <c r="L29" s="282">
        <f>+F29</f>
        <v>74</v>
      </c>
      <c r="M29" s="282">
        <f>L29*K29</f>
        <v>74</v>
      </c>
      <c r="N29" s="286">
        <v>1</v>
      </c>
      <c r="O29" s="282">
        <f>+F29</f>
        <v>74</v>
      </c>
      <c r="P29" s="282">
        <f>O29*N29</f>
        <v>74</v>
      </c>
    </row>
    <row r="30" spans="1:16" ht="25.5">
      <c r="A30" s="1245">
        <v>14</v>
      </c>
      <c r="B30" s="169" t="s">
        <v>1378</v>
      </c>
      <c r="C30" s="290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9"/>
    </row>
    <row r="31" spans="1:16" ht="12.75">
      <c r="A31" s="1246"/>
      <c r="B31" s="635" t="s">
        <v>1379</v>
      </c>
      <c r="C31" s="636">
        <v>7130641396</v>
      </c>
      <c r="D31" s="286" t="s">
        <v>1368</v>
      </c>
      <c r="E31" s="286">
        <v>9</v>
      </c>
      <c r="F31" s="282">
        <f>VLOOKUP(C31,'SOR RATE'!A:D,4,0)</f>
        <v>190</v>
      </c>
      <c r="G31" s="282">
        <f aca="true" t="shared" si="7" ref="G31:G36">F31*E31</f>
        <v>1710</v>
      </c>
      <c r="H31" s="286">
        <v>9</v>
      </c>
      <c r="I31" s="282">
        <f aca="true" t="shared" si="8" ref="I31:I41">+F31</f>
        <v>190</v>
      </c>
      <c r="J31" s="282">
        <f aca="true" t="shared" si="9" ref="J31:J36">I31*H31</f>
        <v>1710</v>
      </c>
      <c r="K31" s="286">
        <v>9</v>
      </c>
      <c r="L31" s="282">
        <f aca="true" t="shared" si="10" ref="L31:L41">+F31</f>
        <v>190</v>
      </c>
      <c r="M31" s="282">
        <f aca="true" t="shared" si="11" ref="M31:M36">L31*K31</f>
        <v>1710</v>
      </c>
      <c r="N31" s="286">
        <v>9</v>
      </c>
      <c r="O31" s="282">
        <f aca="true" t="shared" si="12" ref="O31:O41">+F31</f>
        <v>190</v>
      </c>
      <c r="P31" s="282">
        <f aca="true" t="shared" si="13" ref="P31:P36">O31*N31</f>
        <v>1710</v>
      </c>
    </row>
    <row r="32" spans="1:16" ht="12.75">
      <c r="A32" s="1247"/>
      <c r="B32" s="635" t="s">
        <v>1380</v>
      </c>
      <c r="C32" s="636">
        <v>7130870043</v>
      </c>
      <c r="D32" s="286" t="s">
        <v>458</v>
      </c>
      <c r="E32" s="286">
        <v>15</v>
      </c>
      <c r="F32" s="282">
        <f>VLOOKUP(C32,'SOR RATE'!A:D,4,0)/1000</f>
        <v>55.094</v>
      </c>
      <c r="G32" s="282">
        <f>F32*E32</f>
        <v>826.41</v>
      </c>
      <c r="H32" s="286">
        <v>15</v>
      </c>
      <c r="I32" s="282">
        <f t="shared" si="8"/>
        <v>55.094</v>
      </c>
      <c r="J32" s="282">
        <f t="shared" si="9"/>
        <v>826.41</v>
      </c>
      <c r="K32" s="286">
        <v>15</v>
      </c>
      <c r="L32" s="282">
        <f t="shared" si="10"/>
        <v>55.094</v>
      </c>
      <c r="M32" s="282">
        <f t="shared" si="11"/>
        <v>826.41</v>
      </c>
      <c r="N32" s="286">
        <v>15</v>
      </c>
      <c r="O32" s="282">
        <f t="shared" si="12"/>
        <v>55.094</v>
      </c>
      <c r="P32" s="282">
        <f t="shared" si="13"/>
        <v>826.41</v>
      </c>
    </row>
    <row r="33" spans="1:20" ht="12.75" customHeight="1">
      <c r="A33" s="642">
        <v>15</v>
      </c>
      <c r="B33" s="158" t="s">
        <v>308</v>
      </c>
      <c r="C33" s="164">
        <v>7130610206</v>
      </c>
      <c r="D33" s="210" t="s">
        <v>458</v>
      </c>
      <c r="E33" s="286">
        <v>2</v>
      </c>
      <c r="F33" s="282">
        <f>VLOOKUP(C33,'SOR RATE'!A:D,4,0)/1000</f>
        <v>66.528</v>
      </c>
      <c r="G33" s="282">
        <f t="shared" si="7"/>
        <v>133.056</v>
      </c>
      <c r="H33" s="286">
        <v>2</v>
      </c>
      <c r="I33" s="282">
        <f t="shared" si="8"/>
        <v>66.528</v>
      </c>
      <c r="J33" s="282">
        <f t="shared" si="9"/>
        <v>133.056</v>
      </c>
      <c r="K33" s="286">
        <v>2</v>
      </c>
      <c r="L33" s="282">
        <f t="shared" si="10"/>
        <v>66.528</v>
      </c>
      <c r="M33" s="282">
        <f t="shared" si="11"/>
        <v>133.056</v>
      </c>
      <c r="N33" s="286">
        <v>2</v>
      </c>
      <c r="O33" s="282">
        <f t="shared" si="12"/>
        <v>66.528</v>
      </c>
      <c r="P33" s="282">
        <f t="shared" si="13"/>
        <v>133.056</v>
      </c>
      <c r="Q33" s="105"/>
      <c r="R33" s="52"/>
      <c r="S33" s="52"/>
      <c r="T33" s="52"/>
    </row>
    <row r="34" spans="1:16" ht="12.75">
      <c r="A34" s="642">
        <v>16</v>
      </c>
      <c r="B34" s="635" t="s">
        <v>455</v>
      </c>
      <c r="C34" s="636">
        <v>7130211158</v>
      </c>
      <c r="D34" s="286" t="s">
        <v>456</v>
      </c>
      <c r="E34" s="286">
        <v>1</v>
      </c>
      <c r="F34" s="282">
        <f>VLOOKUP(C34,'SOR RATE'!A:D,4,0)</f>
        <v>130</v>
      </c>
      <c r="G34" s="282">
        <f t="shared" si="7"/>
        <v>130</v>
      </c>
      <c r="H34" s="286">
        <v>1</v>
      </c>
      <c r="I34" s="282">
        <f t="shared" si="8"/>
        <v>130</v>
      </c>
      <c r="J34" s="282">
        <f t="shared" si="9"/>
        <v>130</v>
      </c>
      <c r="K34" s="286">
        <v>3</v>
      </c>
      <c r="L34" s="282">
        <f t="shared" si="10"/>
        <v>130</v>
      </c>
      <c r="M34" s="282">
        <f t="shared" si="11"/>
        <v>390</v>
      </c>
      <c r="N34" s="286">
        <v>3</v>
      </c>
      <c r="O34" s="282">
        <f t="shared" si="12"/>
        <v>130</v>
      </c>
      <c r="P34" s="282">
        <f t="shared" si="13"/>
        <v>390</v>
      </c>
    </row>
    <row r="35" spans="1:16" ht="12.75">
      <c r="A35" s="642">
        <v>17</v>
      </c>
      <c r="B35" s="635" t="s">
        <v>457</v>
      </c>
      <c r="C35" s="636">
        <v>7130210809</v>
      </c>
      <c r="D35" s="286" t="s">
        <v>456</v>
      </c>
      <c r="E35" s="286">
        <v>1</v>
      </c>
      <c r="F35" s="282">
        <f>VLOOKUP(C35,'SOR RATE'!A:D,4,0)</f>
        <v>290</v>
      </c>
      <c r="G35" s="282">
        <f t="shared" si="7"/>
        <v>290</v>
      </c>
      <c r="H35" s="286">
        <v>1</v>
      </c>
      <c r="I35" s="282">
        <f t="shared" si="8"/>
        <v>290</v>
      </c>
      <c r="J35" s="282">
        <f t="shared" si="9"/>
        <v>290</v>
      </c>
      <c r="K35" s="286">
        <v>3</v>
      </c>
      <c r="L35" s="282">
        <f t="shared" si="10"/>
        <v>290</v>
      </c>
      <c r="M35" s="282">
        <f t="shared" si="11"/>
        <v>870</v>
      </c>
      <c r="N35" s="286">
        <v>3</v>
      </c>
      <c r="O35" s="282">
        <f t="shared" si="12"/>
        <v>290</v>
      </c>
      <c r="P35" s="282">
        <f t="shared" si="13"/>
        <v>870</v>
      </c>
    </row>
    <row r="36" spans="1:19" ht="12.75">
      <c r="A36" s="642">
        <v>18</v>
      </c>
      <c r="B36" s="635" t="s">
        <v>1278</v>
      </c>
      <c r="C36" s="636">
        <v>7130840029</v>
      </c>
      <c r="D36" s="286" t="s">
        <v>1553</v>
      </c>
      <c r="E36" s="286">
        <v>3</v>
      </c>
      <c r="F36" s="282">
        <f>VLOOKUP(C36,'SOR RATE'!A:D,4,0)</f>
        <v>425</v>
      </c>
      <c r="G36" s="282">
        <f t="shared" si="7"/>
        <v>1275</v>
      </c>
      <c r="H36" s="286">
        <v>3</v>
      </c>
      <c r="I36" s="282">
        <f t="shared" si="8"/>
        <v>425</v>
      </c>
      <c r="J36" s="282">
        <f t="shared" si="9"/>
        <v>1275</v>
      </c>
      <c r="K36" s="286">
        <v>3</v>
      </c>
      <c r="L36" s="282">
        <f t="shared" si="10"/>
        <v>425</v>
      </c>
      <c r="M36" s="282">
        <f t="shared" si="11"/>
        <v>1275</v>
      </c>
      <c r="N36" s="286">
        <v>3</v>
      </c>
      <c r="O36" s="282">
        <f t="shared" si="12"/>
        <v>425</v>
      </c>
      <c r="P36" s="282">
        <f t="shared" si="13"/>
        <v>1275</v>
      </c>
      <c r="S36" s="32" t="s">
        <v>1277</v>
      </c>
    </row>
    <row r="37" spans="1:16" ht="12.75">
      <c r="A37" s="1245">
        <v>19</v>
      </c>
      <c r="B37" s="213" t="s">
        <v>1359</v>
      </c>
      <c r="C37" s="636"/>
      <c r="D37" s="286" t="s">
        <v>458</v>
      </c>
      <c r="E37" s="218">
        <v>14</v>
      </c>
      <c r="F37" s="282"/>
      <c r="G37" s="282"/>
      <c r="H37" s="218">
        <v>14</v>
      </c>
      <c r="I37" s="282"/>
      <c r="J37" s="282"/>
      <c r="K37" s="218">
        <v>14</v>
      </c>
      <c r="L37" s="282"/>
      <c r="M37" s="282"/>
      <c r="N37" s="218">
        <v>14</v>
      </c>
      <c r="O37" s="637"/>
      <c r="P37" s="637"/>
    </row>
    <row r="38" spans="1:16" ht="12.75">
      <c r="A38" s="1246"/>
      <c r="B38" s="364" t="s">
        <v>438</v>
      </c>
      <c r="C38" s="636">
        <v>7130620609</v>
      </c>
      <c r="D38" s="286" t="s">
        <v>458</v>
      </c>
      <c r="E38" s="286">
        <v>1</v>
      </c>
      <c r="F38" s="282">
        <f>VLOOKUP(C38,'SOR RATE'!A:D,4,0)</f>
        <v>64</v>
      </c>
      <c r="G38" s="282">
        <f>F38*E38</f>
        <v>64</v>
      </c>
      <c r="H38" s="286">
        <v>1</v>
      </c>
      <c r="I38" s="282">
        <f t="shared" si="8"/>
        <v>64</v>
      </c>
      <c r="J38" s="282">
        <f>I38*H38</f>
        <v>64</v>
      </c>
      <c r="K38" s="286">
        <v>1</v>
      </c>
      <c r="L38" s="282">
        <f t="shared" si="10"/>
        <v>64</v>
      </c>
      <c r="M38" s="282">
        <f>L38*K38</f>
        <v>64</v>
      </c>
      <c r="N38" s="286">
        <v>1</v>
      </c>
      <c r="O38" s="282">
        <f t="shared" si="12"/>
        <v>64</v>
      </c>
      <c r="P38" s="282">
        <f>O38*N38</f>
        <v>64</v>
      </c>
    </row>
    <row r="39" spans="1:16" ht="12.75">
      <c r="A39" s="1246"/>
      <c r="B39" s="364" t="s">
        <v>1336</v>
      </c>
      <c r="C39" s="636">
        <v>7130620614</v>
      </c>
      <c r="D39" s="286" t="s">
        <v>458</v>
      </c>
      <c r="E39" s="286">
        <v>4</v>
      </c>
      <c r="F39" s="282">
        <f>VLOOKUP(C39,'SOR RATE'!A:D,4,0)</f>
        <v>63</v>
      </c>
      <c r="G39" s="282">
        <f>F39*E39</f>
        <v>252</v>
      </c>
      <c r="H39" s="286">
        <v>4</v>
      </c>
      <c r="I39" s="282">
        <f t="shared" si="8"/>
        <v>63</v>
      </c>
      <c r="J39" s="282">
        <f>I39*H39</f>
        <v>252</v>
      </c>
      <c r="K39" s="286">
        <v>4</v>
      </c>
      <c r="L39" s="282">
        <f t="shared" si="10"/>
        <v>63</v>
      </c>
      <c r="M39" s="282">
        <f>L39*K39</f>
        <v>252</v>
      </c>
      <c r="N39" s="286">
        <v>4</v>
      </c>
      <c r="O39" s="282">
        <f t="shared" si="12"/>
        <v>63</v>
      </c>
      <c r="P39" s="282">
        <f>O39*N39</f>
        <v>252</v>
      </c>
    </row>
    <row r="40" spans="1:16" ht="12.75">
      <c r="A40" s="1246"/>
      <c r="B40" s="364" t="s">
        <v>1338</v>
      </c>
      <c r="C40" s="636">
        <v>7130620625</v>
      </c>
      <c r="D40" s="286" t="s">
        <v>458</v>
      </c>
      <c r="E40" s="286">
        <v>4</v>
      </c>
      <c r="F40" s="282">
        <f>VLOOKUP(C40,'SOR RATE'!A:D,4,0)</f>
        <v>62</v>
      </c>
      <c r="G40" s="282">
        <f>F40*E40</f>
        <v>248</v>
      </c>
      <c r="H40" s="286">
        <v>4</v>
      </c>
      <c r="I40" s="282">
        <f t="shared" si="8"/>
        <v>62</v>
      </c>
      <c r="J40" s="282">
        <f>I40*H40</f>
        <v>248</v>
      </c>
      <c r="K40" s="286">
        <v>4</v>
      </c>
      <c r="L40" s="282">
        <f t="shared" si="10"/>
        <v>62</v>
      </c>
      <c r="M40" s="282">
        <f>L40*K40</f>
        <v>248</v>
      </c>
      <c r="N40" s="286">
        <v>4</v>
      </c>
      <c r="O40" s="282">
        <f t="shared" si="12"/>
        <v>62</v>
      </c>
      <c r="P40" s="282">
        <f>O40*N40</f>
        <v>248</v>
      </c>
    </row>
    <row r="41" spans="1:16" ht="12.75">
      <c r="A41" s="1247"/>
      <c r="B41" s="364" t="s">
        <v>1345</v>
      </c>
      <c r="C41" s="636">
        <v>7130620631</v>
      </c>
      <c r="D41" s="286" t="s">
        <v>458</v>
      </c>
      <c r="E41" s="286">
        <v>5</v>
      </c>
      <c r="F41" s="282">
        <f>VLOOKUP(C41,'SOR RATE'!A:D,4,0)</f>
        <v>62</v>
      </c>
      <c r="G41" s="282">
        <f>F41*E41</f>
        <v>310</v>
      </c>
      <c r="H41" s="286">
        <v>5</v>
      </c>
      <c r="I41" s="282">
        <f t="shared" si="8"/>
        <v>62</v>
      </c>
      <c r="J41" s="282">
        <f>I41*H41</f>
        <v>310</v>
      </c>
      <c r="K41" s="286">
        <v>5</v>
      </c>
      <c r="L41" s="282">
        <f t="shared" si="10"/>
        <v>62</v>
      </c>
      <c r="M41" s="282">
        <f>L41*K41</f>
        <v>310</v>
      </c>
      <c r="N41" s="286">
        <v>5</v>
      </c>
      <c r="O41" s="282">
        <f t="shared" si="12"/>
        <v>62</v>
      </c>
      <c r="P41" s="282">
        <f>O41*N41</f>
        <v>310</v>
      </c>
    </row>
    <row r="42" spans="1:16" ht="12.75">
      <c r="A42" s="642">
        <v>20</v>
      </c>
      <c r="B42" s="635" t="s">
        <v>1381</v>
      </c>
      <c r="C42" s="636">
        <v>7131920254</v>
      </c>
      <c r="D42" s="286" t="s">
        <v>452</v>
      </c>
      <c r="E42" s="286">
        <v>1</v>
      </c>
      <c r="F42" s="282">
        <f>VLOOKUP(C42,'SOR RATE'!A:D,4,0)</f>
        <v>1634</v>
      </c>
      <c r="G42" s="282">
        <f>F42*E42</f>
        <v>1634</v>
      </c>
      <c r="H42" s="639" t="s">
        <v>453</v>
      </c>
      <c r="I42" s="282"/>
      <c r="J42" s="282"/>
      <c r="K42" s="639" t="s">
        <v>453</v>
      </c>
      <c r="L42" s="282"/>
      <c r="M42" s="282"/>
      <c r="N42" s="639" t="s">
        <v>453</v>
      </c>
      <c r="O42" s="637"/>
      <c r="P42" s="637"/>
    </row>
    <row r="43" spans="1:16" ht="12.75">
      <c r="A43" s="642">
        <v>21</v>
      </c>
      <c r="B43" s="638" t="s">
        <v>1382</v>
      </c>
      <c r="C43" s="290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9"/>
    </row>
    <row r="44" spans="1:22" ht="15.75" customHeight="1">
      <c r="A44" s="642" t="s">
        <v>442</v>
      </c>
      <c r="B44" s="635" t="s">
        <v>1383</v>
      </c>
      <c r="C44" s="636">
        <v>7130311084</v>
      </c>
      <c r="D44" s="286" t="s">
        <v>1368</v>
      </c>
      <c r="E44" s="286">
        <v>30</v>
      </c>
      <c r="F44" s="282">
        <f>VLOOKUP(C44,'SOR RATE'!A:D,4,0)/1000</f>
        <v>99.916</v>
      </c>
      <c r="G44" s="282">
        <f>F44*E44</f>
        <v>2997.48</v>
      </c>
      <c r="H44" s="639" t="s">
        <v>453</v>
      </c>
      <c r="I44" s="282"/>
      <c r="J44" s="282"/>
      <c r="K44" s="639"/>
      <c r="L44" s="282"/>
      <c r="M44" s="282"/>
      <c r="N44" s="639" t="s">
        <v>453</v>
      </c>
      <c r="O44" s="637"/>
      <c r="P44" s="637"/>
      <c r="R44" s="341"/>
      <c r="S44" s="341"/>
      <c r="T44" s="341"/>
      <c r="U44" s="341"/>
      <c r="V44" s="341"/>
    </row>
    <row r="45" spans="1:16" ht="12.75">
      <c r="A45" s="642" t="s">
        <v>460</v>
      </c>
      <c r="B45" s="635" t="s">
        <v>1384</v>
      </c>
      <c r="C45" s="636">
        <v>7130311054</v>
      </c>
      <c r="D45" s="286" t="s">
        <v>1368</v>
      </c>
      <c r="E45" s="639" t="s">
        <v>453</v>
      </c>
      <c r="F45" s="639" t="s">
        <v>453</v>
      </c>
      <c r="G45" s="639" t="s">
        <v>453</v>
      </c>
      <c r="H45" s="286">
        <v>30</v>
      </c>
      <c r="I45" s="282">
        <f>VLOOKUP(C45,'SOR RATE'!A:D,4,0)/1000</f>
        <v>213.718</v>
      </c>
      <c r="J45" s="282">
        <f>I45*H45</f>
        <v>6411.54</v>
      </c>
      <c r="K45" s="286">
        <v>30</v>
      </c>
      <c r="L45" s="282">
        <f>+I45</f>
        <v>213.718</v>
      </c>
      <c r="M45" s="282">
        <f>L45*K45</f>
        <v>6411.54</v>
      </c>
      <c r="N45" s="639" t="s">
        <v>453</v>
      </c>
      <c r="O45" s="639" t="s">
        <v>453</v>
      </c>
      <c r="P45" s="639" t="s">
        <v>453</v>
      </c>
    </row>
    <row r="46" spans="1:16" ht="12.75">
      <c r="A46" s="642" t="s">
        <v>131</v>
      </c>
      <c r="B46" s="635" t="s">
        <v>1385</v>
      </c>
      <c r="C46" s="636">
        <v>7130311057</v>
      </c>
      <c r="D46" s="286" t="s">
        <v>1368</v>
      </c>
      <c r="E46" s="639" t="s">
        <v>453</v>
      </c>
      <c r="F46" s="639" t="s">
        <v>453</v>
      </c>
      <c r="G46" s="639" t="s">
        <v>453</v>
      </c>
      <c r="H46" s="639" t="s">
        <v>453</v>
      </c>
      <c r="I46" s="639" t="s">
        <v>453</v>
      </c>
      <c r="J46" s="639" t="s">
        <v>453</v>
      </c>
      <c r="K46" s="286">
        <v>10</v>
      </c>
      <c r="L46" s="282">
        <f>VLOOKUP(C46,'SOR RATE'!A:D,4,0)/1000</f>
        <v>412.459</v>
      </c>
      <c r="M46" s="282">
        <f>L46*K46</f>
        <v>4124.59</v>
      </c>
      <c r="N46" s="286">
        <v>30</v>
      </c>
      <c r="O46" s="282">
        <f>+L46</f>
        <v>412.459</v>
      </c>
      <c r="P46" s="282">
        <f>O46*N46</f>
        <v>12373.77</v>
      </c>
    </row>
    <row r="47" spans="1:16" ht="12.75">
      <c r="A47" s="642" t="s">
        <v>132</v>
      </c>
      <c r="B47" s="635" t="s">
        <v>1386</v>
      </c>
      <c r="C47" s="636">
        <v>7130311061</v>
      </c>
      <c r="D47" s="286" t="s">
        <v>1368</v>
      </c>
      <c r="E47" s="639" t="s">
        <v>453</v>
      </c>
      <c r="F47" s="639" t="s">
        <v>453</v>
      </c>
      <c r="G47" s="639" t="s">
        <v>453</v>
      </c>
      <c r="H47" s="639" t="s">
        <v>453</v>
      </c>
      <c r="I47" s="639" t="s">
        <v>453</v>
      </c>
      <c r="J47" s="639" t="s">
        <v>453</v>
      </c>
      <c r="K47" s="639" t="s">
        <v>453</v>
      </c>
      <c r="L47" s="639" t="s">
        <v>453</v>
      </c>
      <c r="M47" s="639" t="s">
        <v>453</v>
      </c>
      <c r="N47" s="286">
        <v>10</v>
      </c>
      <c r="O47" s="282">
        <f>VLOOKUP(C47,'SOR RATE'!A:D,4,0)/1000</f>
        <v>784.944</v>
      </c>
      <c r="P47" s="282">
        <f>O47*N47</f>
        <v>7849.44</v>
      </c>
    </row>
    <row r="48" spans="1:17" s="73" customFormat="1" ht="40.5" customHeight="1">
      <c r="A48" s="351">
        <v>22</v>
      </c>
      <c r="B48" s="216" t="s">
        <v>1387</v>
      </c>
      <c r="C48" s="290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9"/>
      <c r="Q48" s="650"/>
    </row>
    <row r="49" spans="1:16" ht="12.75">
      <c r="A49" s="642" t="s">
        <v>442</v>
      </c>
      <c r="B49" s="635" t="s">
        <v>1388</v>
      </c>
      <c r="C49" s="636">
        <v>7131950065</v>
      </c>
      <c r="D49" s="286" t="s">
        <v>1553</v>
      </c>
      <c r="E49" s="286"/>
      <c r="F49" s="282"/>
      <c r="G49" s="282"/>
      <c r="H49" s="286">
        <v>1</v>
      </c>
      <c r="I49" s="282">
        <f>VLOOKUP(C49,'SOR RATE'!A:D,4,0)</f>
        <v>13758</v>
      </c>
      <c r="J49" s="282">
        <f>I49*H49</f>
        <v>13758</v>
      </c>
      <c r="K49" s="639" t="s">
        <v>453</v>
      </c>
      <c r="L49" s="282"/>
      <c r="M49" s="282"/>
      <c r="N49" s="639"/>
      <c r="O49" s="637"/>
      <c r="P49" s="637"/>
    </row>
    <row r="50" spans="1:16" ht="12.75">
      <c r="A50" s="642" t="s">
        <v>460</v>
      </c>
      <c r="B50" s="635" t="s">
        <v>1389</v>
      </c>
      <c r="C50" s="636">
        <v>7131950105</v>
      </c>
      <c r="D50" s="286" t="s">
        <v>1553</v>
      </c>
      <c r="E50" s="286"/>
      <c r="F50" s="282"/>
      <c r="G50" s="282"/>
      <c r="H50" s="286"/>
      <c r="I50" s="282"/>
      <c r="J50" s="287"/>
      <c r="K50" s="286">
        <v>1</v>
      </c>
      <c r="L50" s="282">
        <f>VLOOKUP(C50,'SOR RATE'!A:D,4,0)</f>
        <v>17198</v>
      </c>
      <c r="M50" s="282">
        <f>L50*K50</f>
        <v>17198</v>
      </c>
      <c r="N50" s="286"/>
      <c r="O50" s="637"/>
      <c r="P50" s="637"/>
    </row>
    <row r="51" spans="1:16" ht="12.75">
      <c r="A51" s="642" t="s">
        <v>131</v>
      </c>
      <c r="B51" s="635" t="s">
        <v>1390</v>
      </c>
      <c r="C51" s="636">
        <v>7131950200</v>
      </c>
      <c r="D51" s="286" t="s">
        <v>1553</v>
      </c>
      <c r="E51" s="286"/>
      <c r="F51" s="282"/>
      <c r="G51" s="282"/>
      <c r="H51" s="286"/>
      <c r="I51" s="282"/>
      <c r="J51" s="637"/>
      <c r="K51" s="286"/>
      <c r="L51" s="282"/>
      <c r="M51" s="282"/>
      <c r="N51" s="286">
        <v>1</v>
      </c>
      <c r="O51" s="282">
        <f>VLOOKUP(C51,'SOR RATE'!A:D,4,0)</f>
        <v>34396</v>
      </c>
      <c r="P51" s="282">
        <f>O51*N51</f>
        <v>34396</v>
      </c>
    </row>
    <row r="52" spans="1:16" ht="12.75">
      <c r="A52" s="642">
        <v>23</v>
      </c>
      <c r="B52" s="635" t="s">
        <v>1391</v>
      </c>
      <c r="C52" s="636">
        <v>7131930221</v>
      </c>
      <c r="D52" s="286" t="s">
        <v>1553</v>
      </c>
      <c r="E52" s="639" t="s">
        <v>453</v>
      </c>
      <c r="F52" s="282"/>
      <c r="G52" s="282"/>
      <c r="H52" s="639" t="s">
        <v>453</v>
      </c>
      <c r="I52" s="282"/>
      <c r="J52" s="651"/>
      <c r="K52" s="639">
        <v>1</v>
      </c>
      <c r="L52" s="282">
        <f>VLOOKUP(C52,'SOR RATE'!A:D,4,0)</f>
        <v>7750</v>
      </c>
      <c r="M52" s="282">
        <f>L52*K52</f>
        <v>7750</v>
      </c>
      <c r="N52" s="639">
        <v>1</v>
      </c>
      <c r="O52" s="282">
        <f>VLOOKUP(C52,'SOR RATE'!A:D,4,0)</f>
        <v>7750</v>
      </c>
      <c r="P52" s="282">
        <f>O52*N52</f>
        <v>7750</v>
      </c>
    </row>
    <row r="53" spans="1:17" ht="12.75">
      <c r="A53" s="415">
        <v>24</v>
      </c>
      <c r="B53" s="168" t="s">
        <v>1576</v>
      </c>
      <c r="C53" s="652"/>
      <c r="D53" s="218"/>
      <c r="E53" s="218"/>
      <c r="F53" s="218"/>
      <c r="G53" s="220">
        <f>SUM(G9:G52)</f>
        <v>94623.23</v>
      </c>
      <c r="H53" s="220"/>
      <c r="I53" s="220"/>
      <c r="J53" s="220">
        <f>SUM(J9:J52)</f>
        <v>144147.28999999998</v>
      </c>
      <c r="K53" s="220"/>
      <c r="L53" s="220"/>
      <c r="M53" s="220">
        <f>SUM(M9:M52)</f>
        <v>224786.28842000003</v>
      </c>
      <c r="N53" s="220"/>
      <c r="O53" s="653"/>
      <c r="P53" s="653">
        <f>SUM(P9:P52)</f>
        <v>352797.36842</v>
      </c>
      <c r="Q53" s="323"/>
    </row>
    <row r="54" spans="1:18" ht="17.25" customHeight="1">
      <c r="A54" s="634">
        <v>25</v>
      </c>
      <c r="B54" s="158" t="s">
        <v>1575</v>
      </c>
      <c r="C54" s="597"/>
      <c r="D54" s="598"/>
      <c r="E54" s="654"/>
      <c r="F54" s="350">
        <v>0.09</v>
      </c>
      <c r="G54" s="221">
        <f>G53*F54</f>
        <v>8516.090699999999</v>
      </c>
      <c r="H54" s="655"/>
      <c r="I54" s="350">
        <v>0.09</v>
      </c>
      <c r="J54" s="350">
        <f>J53*I54</f>
        <v>12973.256099999997</v>
      </c>
      <c r="K54" s="655"/>
      <c r="L54" s="350">
        <v>0.09</v>
      </c>
      <c r="M54" s="350">
        <f>M53*L54</f>
        <v>20230.765957800002</v>
      </c>
      <c r="N54" s="655"/>
      <c r="O54" s="350">
        <v>0.09</v>
      </c>
      <c r="P54" s="221">
        <f>P53*O54</f>
        <v>31751.7631578</v>
      </c>
      <c r="Q54" s="323"/>
      <c r="R54" s="600"/>
    </row>
    <row r="55" spans="1:19" ht="25.5">
      <c r="A55" s="634">
        <v>26</v>
      </c>
      <c r="B55" s="163" t="s">
        <v>316</v>
      </c>
      <c r="C55" s="368"/>
      <c r="D55" s="656" t="s">
        <v>452</v>
      </c>
      <c r="E55" s="350">
        <v>3</v>
      </c>
      <c r="F55" s="170">
        <f>132*1.11*1.0891*1.086275*1.1112*1.0685</f>
        <v>205.81224590423886</v>
      </c>
      <c r="G55" s="221">
        <f>E55*F55</f>
        <v>617.4367377127166</v>
      </c>
      <c r="H55" s="350">
        <v>3</v>
      </c>
      <c r="I55" s="170">
        <f>132*1.11*1.0891*1.086275*1.1112*1.0685</f>
        <v>205.81224590423886</v>
      </c>
      <c r="J55" s="221">
        <f>H55*I55</f>
        <v>617.4367377127166</v>
      </c>
      <c r="K55" s="350">
        <v>0</v>
      </c>
      <c r="L55" s="350">
        <v>0</v>
      </c>
      <c r="M55" s="350">
        <v>0</v>
      </c>
      <c r="N55" s="350">
        <v>0</v>
      </c>
      <c r="O55" s="350">
        <v>0</v>
      </c>
      <c r="P55" s="350">
        <v>0</v>
      </c>
      <c r="Q55" s="327"/>
      <c r="S55" s="1114">
        <f>132*1.11*1.0891*1.086275*1.1112</f>
        <v>192.61791848782298</v>
      </c>
    </row>
    <row r="56" spans="1:16" ht="26.25" customHeight="1">
      <c r="A56" s="288">
        <v>27</v>
      </c>
      <c r="B56" s="289" t="s">
        <v>1372</v>
      </c>
      <c r="C56" s="657"/>
      <c r="D56" s="644" t="s">
        <v>454</v>
      </c>
      <c r="E56" s="658">
        <v>1.85</v>
      </c>
      <c r="F56" s="659">
        <f>1664*1.27*1.0891*1.086275*1.1112*1.0685</f>
        <v>2968.460981603261</v>
      </c>
      <c r="G56" s="659">
        <f>F56*E56</f>
        <v>5491.652815966034</v>
      </c>
      <c r="H56" s="658">
        <f>+E56</f>
        <v>1.85</v>
      </c>
      <c r="I56" s="659">
        <f>+F56</f>
        <v>2968.460981603261</v>
      </c>
      <c r="J56" s="659">
        <f>I56*H56</f>
        <v>5491.652815966034</v>
      </c>
      <c r="K56" s="659">
        <f>+H56</f>
        <v>1.85</v>
      </c>
      <c r="L56" s="659">
        <f>+I56</f>
        <v>2968.460981603261</v>
      </c>
      <c r="M56" s="659">
        <f>L56*K56</f>
        <v>5491.652815966034</v>
      </c>
      <c r="N56" s="287">
        <f>+K56</f>
        <v>1.85</v>
      </c>
      <c r="O56" s="659">
        <f>+L56</f>
        <v>2968.460981603261</v>
      </c>
      <c r="P56" s="659">
        <f>O56*N56</f>
        <v>5491.652815966034</v>
      </c>
    </row>
    <row r="57" spans="1:18" ht="25.5">
      <c r="A57" s="288">
        <v>28</v>
      </c>
      <c r="B57" s="289" t="s">
        <v>1392</v>
      </c>
      <c r="C57" s="657"/>
      <c r="D57" s="644" t="s">
        <v>452</v>
      </c>
      <c r="E57" s="644">
        <v>1</v>
      </c>
      <c r="F57" s="660">
        <f>3075*1.27*1.0891*1.086275*1.1112*1.0685</f>
        <v>5485.587450979585</v>
      </c>
      <c r="G57" s="660">
        <f>F57*E57</f>
        <v>5485.587450979585</v>
      </c>
      <c r="H57" s="644">
        <v>1</v>
      </c>
      <c r="I57" s="660">
        <f>+F57</f>
        <v>5485.587450979585</v>
      </c>
      <c r="J57" s="660">
        <f>I57*H57</f>
        <v>5485.587450979585</v>
      </c>
      <c r="K57" s="661">
        <v>1</v>
      </c>
      <c r="L57" s="660">
        <f>+F57</f>
        <v>5485.587450979585</v>
      </c>
      <c r="M57" s="660">
        <f>L57*K57</f>
        <v>5485.587450979585</v>
      </c>
      <c r="N57" s="286">
        <v>1</v>
      </c>
      <c r="O57" s="660">
        <f>+F57</f>
        <v>5485.587450979585</v>
      </c>
      <c r="P57" s="660">
        <f>O57*N57</f>
        <v>5485.587450979585</v>
      </c>
      <c r="R57" s="1113"/>
    </row>
    <row r="58" spans="1:18" ht="15" customHeight="1">
      <c r="A58" s="642">
        <v>29</v>
      </c>
      <c r="B58" s="635" t="s">
        <v>1393</v>
      </c>
      <c r="C58" s="636"/>
      <c r="D58" s="286"/>
      <c r="E58" s="286"/>
      <c r="F58" s="286"/>
      <c r="G58" s="282">
        <v>7965.45</v>
      </c>
      <c r="H58" s="286"/>
      <c r="I58" s="286"/>
      <c r="J58" s="282">
        <v>8367.24</v>
      </c>
      <c r="K58" s="286"/>
      <c r="L58" s="286"/>
      <c r="M58" s="282">
        <f>+J58</f>
        <v>8367.24</v>
      </c>
      <c r="N58" s="286"/>
      <c r="O58" s="286"/>
      <c r="P58" s="282">
        <v>10382.45</v>
      </c>
      <c r="Q58" s="73"/>
      <c r="R58" s="432"/>
    </row>
    <row r="59" spans="1:16" ht="53.25" customHeight="1">
      <c r="A59" s="642">
        <v>30</v>
      </c>
      <c r="B59" s="635" t="s">
        <v>1394</v>
      </c>
      <c r="C59" s="657"/>
      <c r="D59" s="286"/>
      <c r="E59" s="286"/>
      <c r="F59" s="286"/>
      <c r="G59" s="282">
        <f>1.1*1.1*2363*1.2*1.1*1.1797*1.1402*0.9368</f>
        <v>4755.7883787147575</v>
      </c>
      <c r="H59" s="286"/>
      <c r="I59" s="286"/>
      <c r="J59" s="282">
        <f>1.1*1.1*2616*1.2*1.1*1.1797*1.1402*0.9368</f>
        <v>5264.9777396182</v>
      </c>
      <c r="K59" s="286"/>
      <c r="L59" s="286"/>
      <c r="M59" s="282">
        <f>+J59</f>
        <v>5264.9777396182</v>
      </c>
      <c r="N59" s="286"/>
      <c r="O59" s="286"/>
      <c r="P59" s="282">
        <f>+J59</f>
        <v>5264.9777396182</v>
      </c>
    </row>
    <row r="60" spans="1:17" ht="12.75">
      <c r="A60" s="415">
        <v>31</v>
      </c>
      <c r="B60" s="168" t="s">
        <v>1577</v>
      </c>
      <c r="C60" s="657"/>
      <c r="D60" s="286"/>
      <c r="E60" s="286"/>
      <c r="F60" s="286"/>
      <c r="G60" s="220">
        <f>G53+G54+G55+G56+G57+G58+G59</f>
        <v>127455.23608337309</v>
      </c>
      <c r="H60" s="218"/>
      <c r="I60" s="218"/>
      <c r="J60" s="220">
        <f>J53+J54+J55+J56+J57+J58+J59</f>
        <v>182347.44084427648</v>
      </c>
      <c r="K60" s="218"/>
      <c r="L60" s="218"/>
      <c r="M60" s="220">
        <f>M53+M54+M55+M56+M57+M58+M59</f>
        <v>269626.51238436386</v>
      </c>
      <c r="N60" s="218"/>
      <c r="O60" s="218"/>
      <c r="P60" s="220">
        <f>P53+P54+P55+P56+P57+P58+P59</f>
        <v>411173.7995843639</v>
      </c>
      <c r="Q60" s="327"/>
    </row>
    <row r="61" spans="1:17" ht="41.25" customHeight="1">
      <c r="A61" s="642">
        <v>32</v>
      </c>
      <c r="B61" s="158" t="s">
        <v>1578</v>
      </c>
      <c r="C61" s="657"/>
      <c r="D61" s="286"/>
      <c r="E61" s="286"/>
      <c r="F61" s="286">
        <v>0.11</v>
      </c>
      <c r="G61" s="282">
        <f>G53*F61</f>
        <v>10408.5553</v>
      </c>
      <c r="H61" s="286"/>
      <c r="I61" s="286">
        <v>0.11</v>
      </c>
      <c r="J61" s="282">
        <f>J53*I61</f>
        <v>15856.201899999998</v>
      </c>
      <c r="K61" s="286"/>
      <c r="L61" s="286">
        <v>0.11</v>
      </c>
      <c r="M61" s="282">
        <f>M53*L61</f>
        <v>24726.4917262</v>
      </c>
      <c r="N61" s="286"/>
      <c r="O61" s="286">
        <v>0.11</v>
      </c>
      <c r="P61" s="282">
        <f>P53*O61</f>
        <v>38807.710526200004</v>
      </c>
      <c r="Q61" s="327"/>
    </row>
    <row r="62" spans="1:16" ht="15" customHeight="1">
      <c r="A62" s="351">
        <v>33</v>
      </c>
      <c r="B62" s="213" t="s">
        <v>1395</v>
      </c>
      <c r="C62" s="662"/>
      <c r="D62" s="210"/>
      <c r="E62" s="210"/>
      <c r="F62" s="210"/>
      <c r="G62" s="221">
        <f>G60+G61</f>
        <v>137863.79138337309</v>
      </c>
      <c r="H62" s="221"/>
      <c r="I62" s="221"/>
      <c r="J62" s="221">
        <f>J60+J61</f>
        <v>198203.64274427647</v>
      </c>
      <c r="K62" s="221"/>
      <c r="L62" s="221"/>
      <c r="M62" s="221">
        <f>M60+M61</f>
        <v>294353.00411056384</v>
      </c>
      <c r="N62" s="221"/>
      <c r="O62" s="221"/>
      <c r="P62" s="221">
        <f>P60+P61</f>
        <v>449981.5101105639</v>
      </c>
    </row>
    <row r="63" spans="1:16" ht="27.75" customHeight="1">
      <c r="A63" s="415">
        <v>34</v>
      </c>
      <c r="B63" s="169" t="s">
        <v>1487</v>
      </c>
      <c r="C63" s="663"/>
      <c r="D63" s="218"/>
      <c r="E63" s="218"/>
      <c r="F63" s="218"/>
      <c r="G63" s="68">
        <f>ROUND(G62,0)</f>
        <v>137864</v>
      </c>
      <c r="H63" s="68"/>
      <c r="I63" s="68"/>
      <c r="J63" s="68">
        <f>ROUND(J62,0)</f>
        <v>198204</v>
      </c>
      <c r="K63" s="68"/>
      <c r="L63" s="68"/>
      <c r="M63" s="68">
        <f>ROUND(M62,0)</f>
        <v>294353</v>
      </c>
      <c r="N63" s="68"/>
      <c r="O63" s="68"/>
      <c r="P63" s="68">
        <f>ROUND(P62,0)</f>
        <v>449982</v>
      </c>
    </row>
    <row r="64" spans="1:16" ht="12.75">
      <c r="A64" s="1157"/>
      <c r="B64" s="1157"/>
      <c r="C64" s="1157"/>
      <c r="D64" s="1157"/>
      <c r="E64" s="1157"/>
      <c r="F64" s="1157"/>
      <c r="G64" s="1157"/>
      <c r="H64" s="1157"/>
      <c r="I64" s="1157"/>
      <c r="J64" s="1157"/>
      <c r="K64" s="1157"/>
      <c r="L64" s="1157"/>
      <c r="M64" s="1157"/>
      <c r="N64" s="1157"/>
      <c r="O64" s="1157"/>
      <c r="P64" s="1157"/>
    </row>
    <row r="65" spans="1:16" ht="18.75" customHeight="1">
      <c r="A65" s="664"/>
      <c r="B65" s="1248" t="s">
        <v>1396</v>
      </c>
      <c r="C65" s="1248"/>
      <c r="D65" s="1248"/>
      <c r="E65" s="1248"/>
      <c r="F65" s="1248"/>
      <c r="G65" s="1248"/>
      <c r="H65" s="1248"/>
      <c r="I65" s="625"/>
      <c r="J65" s="625"/>
      <c r="K65" s="625"/>
      <c r="L65" s="625"/>
      <c r="M65" s="625"/>
      <c r="N65" s="625"/>
      <c r="O65" s="625"/>
      <c r="P65" s="625"/>
    </row>
    <row r="66" spans="2:16" ht="17.25" customHeight="1">
      <c r="B66" s="1249" t="s">
        <v>1397</v>
      </c>
      <c r="C66" s="1249"/>
      <c r="D66" s="1249"/>
      <c r="E66" s="1249"/>
      <c r="F66" s="1249"/>
      <c r="G66" s="1249"/>
      <c r="H66" s="1249"/>
      <c r="K66" s="665"/>
      <c r="N66" s="665"/>
      <c r="O66" s="665"/>
      <c r="P66" s="665"/>
    </row>
    <row r="68" spans="2:8" ht="30" customHeight="1">
      <c r="B68" s="1244" t="s">
        <v>1398</v>
      </c>
      <c r="C68" s="1244"/>
      <c r="D68" s="1244"/>
      <c r="E68" s="1244"/>
      <c r="F68" s="1244"/>
      <c r="G68" s="1244"/>
      <c r="H68" s="1244"/>
    </row>
    <row r="75" spans="1:16" ht="12.75">
      <c r="A75" s="627"/>
      <c r="B75" s="628"/>
      <c r="C75" s="629"/>
      <c r="D75" s="630"/>
      <c r="E75" s="627"/>
      <c r="F75" s="630"/>
      <c r="G75" s="630"/>
      <c r="H75" s="627"/>
      <c r="I75" s="630"/>
      <c r="J75" s="630"/>
      <c r="K75" s="627"/>
      <c r="L75" s="630"/>
      <c r="M75" s="630"/>
      <c r="N75" s="627"/>
      <c r="O75" s="631"/>
      <c r="P75" s="631"/>
    </row>
    <row r="76" spans="1:16" ht="12.75">
      <c r="A76" s="627"/>
      <c r="B76" s="628"/>
      <c r="C76" s="629"/>
      <c r="D76" s="630"/>
      <c r="E76" s="627"/>
      <c r="F76" s="630"/>
      <c r="G76" s="630"/>
      <c r="H76" s="627"/>
      <c r="I76" s="630"/>
      <c r="J76" s="630"/>
      <c r="K76" s="627"/>
      <c r="L76" s="630"/>
      <c r="M76" s="630"/>
      <c r="N76" s="627"/>
      <c r="O76" s="631"/>
      <c r="P76" s="631"/>
    </row>
    <row r="77" spans="1:16" ht="12.75">
      <c r="A77" s="627"/>
      <c r="B77" s="628"/>
      <c r="C77" s="629"/>
      <c r="D77" s="630"/>
      <c r="E77" s="627"/>
      <c r="F77" s="630"/>
      <c r="G77" s="630"/>
      <c r="H77" s="627"/>
      <c r="I77" s="630"/>
      <c r="J77" s="630"/>
      <c r="K77" s="627"/>
      <c r="L77" s="630"/>
      <c r="M77" s="630"/>
      <c r="N77" s="627"/>
      <c r="O77" s="631"/>
      <c r="P77" s="631"/>
    </row>
    <row r="78" spans="1:16" ht="12.75">
      <c r="A78" s="627"/>
      <c r="B78" s="628"/>
      <c r="C78" s="629"/>
      <c r="D78" s="630"/>
      <c r="E78" s="627"/>
      <c r="F78" s="630"/>
      <c r="G78" s="630"/>
      <c r="H78" s="627"/>
      <c r="I78" s="630"/>
      <c r="J78" s="630"/>
      <c r="K78" s="627"/>
      <c r="L78" s="630"/>
      <c r="M78" s="630"/>
      <c r="N78" s="627"/>
      <c r="O78" s="631"/>
      <c r="P78" s="631"/>
    </row>
    <row r="79" spans="1:16" ht="12.75">
      <c r="A79" s="627"/>
      <c r="B79" s="628"/>
      <c r="C79" s="629"/>
      <c r="D79" s="630"/>
      <c r="E79" s="627"/>
      <c r="F79" s="630"/>
      <c r="G79" s="630"/>
      <c r="H79" s="627"/>
      <c r="I79" s="630"/>
      <c r="J79" s="630"/>
      <c r="K79" s="627"/>
      <c r="L79" s="630"/>
      <c r="M79" s="630"/>
      <c r="N79" s="627"/>
      <c r="O79" s="631"/>
      <c r="P79" s="631"/>
    </row>
    <row r="80" spans="1:16" ht="12.75">
      <c r="A80" s="627"/>
      <c r="B80" s="628"/>
      <c r="C80" s="629"/>
      <c r="D80" s="630"/>
      <c r="E80" s="627"/>
      <c r="F80" s="630"/>
      <c r="G80" s="630"/>
      <c r="H80" s="627"/>
      <c r="I80" s="630"/>
      <c r="J80" s="630"/>
      <c r="K80" s="627"/>
      <c r="L80" s="630"/>
      <c r="M80" s="630"/>
      <c r="N80" s="627"/>
      <c r="O80" s="631"/>
      <c r="P80" s="631"/>
    </row>
    <row r="81" spans="1:16" ht="12.75">
      <c r="A81" s="627"/>
      <c r="B81" s="628"/>
      <c r="C81" s="629"/>
      <c r="D81" s="630"/>
      <c r="E81" s="627"/>
      <c r="F81" s="630"/>
      <c r="G81" s="630"/>
      <c r="H81" s="627"/>
      <c r="I81" s="630"/>
      <c r="J81" s="630"/>
      <c r="K81" s="627"/>
      <c r="L81" s="630"/>
      <c r="M81" s="630"/>
      <c r="N81" s="627"/>
      <c r="O81" s="631"/>
      <c r="P81" s="631"/>
    </row>
    <row r="82" spans="1:16" ht="12.75">
      <c r="A82" s="627"/>
      <c r="B82" s="666"/>
      <c r="C82" s="629"/>
      <c r="D82" s="630"/>
      <c r="E82" s="627"/>
      <c r="F82" s="630"/>
      <c r="G82" s="630"/>
      <c r="H82" s="627"/>
      <c r="I82" s="630"/>
      <c r="J82" s="630"/>
      <c r="K82" s="627"/>
      <c r="L82" s="630"/>
      <c r="M82" s="630"/>
      <c r="N82" s="627"/>
      <c r="O82" s="631"/>
      <c r="P82" s="631"/>
    </row>
    <row r="83" spans="1:16" ht="12.75">
      <c r="A83" s="627"/>
      <c r="B83" s="628"/>
      <c r="C83" s="629"/>
      <c r="D83" s="630"/>
      <c r="E83" s="627"/>
      <c r="F83" s="630"/>
      <c r="G83" s="630"/>
      <c r="H83" s="627"/>
      <c r="I83" s="630"/>
      <c r="J83" s="630"/>
      <c r="K83" s="627"/>
      <c r="L83" s="630"/>
      <c r="M83" s="630"/>
      <c r="N83" s="627"/>
      <c r="O83" s="631"/>
      <c r="P83" s="631"/>
    </row>
    <row r="84" spans="1:16" ht="12.75">
      <c r="A84" s="627"/>
      <c r="B84" s="628"/>
      <c r="C84" s="629"/>
      <c r="D84" s="630"/>
      <c r="E84" s="627"/>
      <c r="F84" s="630"/>
      <c r="G84" s="630"/>
      <c r="H84" s="627"/>
      <c r="I84" s="630"/>
      <c r="J84" s="630"/>
      <c r="K84" s="627"/>
      <c r="L84" s="630"/>
      <c r="M84" s="630"/>
      <c r="N84" s="627"/>
      <c r="O84" s="631"/>
      <c r="P84" s="631"/>
    </row>
    <row r="85" spans="1:16" ht="12.75">
      <c r="A85" s="627"/>
      <c r="B85" s="628"/>
      <c r="C85" s="629"/>
      <c r="D85" s="630"/>
      <c r="E85" s="627"/>
      <c r="F85" s="630"/>
      <c r="G85" s="630"/>
      <c r="H85" s="627"/>
      <c r="I85" s="630"/>
      <c r="J85" s="630"/>
      <c r="K85" s="627"/>
      <c r="L85" s="630"/>
      <c r="M85" s="630"/>
      <c r="N85" s="627"/>
      <c r="O85" s="631"/>
      <c r="P85" s="631"/>
    </row>
    <row r="86" spans="1:16" ht="12.75">
      <c r="A86" s="627"/>
      <c r="B86" s="628"/>
      <c r="C86" s="629"/>
      <c r="D86" s="630"/>
      <c r="E86" s="627"/>
      <c r="F86" s="630"/>
      <c r="G86" s="630"/>
      <c r="H86" s="627"/>
      <c r="I86" s="630"/>
      <c r="J86" s="630"/>
      <c r="K86" s="627"/>
      <c r="L86" s="630"/>
      <c r="M86" s="630"/>
      <c r="N86" s="627"/>
      <c r="O86" s="631"/>
      <c r="P86" s="631"/>
    </row>
    <row r="87" spans="1:16" ht="12.75">
      <c r="A87" s="627"/>
      <c r="B87" s="628"/>
      <c r="C87" s="629"/>
      <c r="D87" s="630"/>
      <c r="E87" s="627"/>
      <c r="F87" s="630"/>
      <c r="G87" s="630"/>
      <c r="H87" s="627"/>
      <c r="I87" s="630"/>
      <c r="J87" s="630"/>
      <c r="K87" s="627"/>
      <c r="L87" s="630"/>
      <c r="M87" s="630"/>
      <c r="N87" s="627"/>
      <c r="O87" s="631"/>
      <c r="P87" s="631"/>
    </row>
    <row r="88" spans="1:16" ht="12.75">
      <c r="A88" s="627"/>
      <c r="B88" s="628"/>
      <c r="C88" s="629"/>
      <c r="D88" s="630"/>
      <c r="E88" s="627"/>
      <c r="F88" s="630"/>
      <c r="G88" s="630"/>
      <c r="H88" s="627"/>
      <c r="I88" s="630"/>
      <c r="J88" s="630"/>
      <c r="K88" s="627"/>
      <c r="L88" s="630"/>
      <c r="M88" s="630"/>
      <c r="N88" s="627"/>
      <c r="O88" s="631"/>
      <c r="P88" s="631"/>
    </row>
    <row r="89" spans="1:16" ht="12.75">
      <c r="A89" s="627"/>
      <c r="B89" s="628"/>
      <c r="C89" s="629"/>
      <c r="D89" s="630"/>
      <c r="E89" s="627"/>
      <c r="F89" s="630"/>
      <c r="G89" s="630"/>
      <c r="H89" s="627"/>
      <c r="I89" s="630"/>
      <c r="J89" s="630"/>
      <c r="K89" s="627"/>
      <c r="L89" s="630"/>
      <c r="M89" s="630"/>
      <c r="N89" s="627"/>
      <c r="O89" s="631"/>
      <c r="P89" s="631"/>
    </row>
    <row r="90" spans="1:16" ht="12.75">
      <c r="A90" s="627"/>
      <c r="B90" s="628"/>
      <c r="C90" s="629"/>
      <c r="D90" s="630"/>
      <c r="E90" s="627"/>
      <c r="F90" s="630"/>
      <c r="G90" s="630"/>
      <c r="H90" s="627"/>
      <c r="I90" s="630"/>
      <c r="J90" s="630"/>
      <c r="K90" s="627"/>
      <c r="L90" s="630"/>
      <c r="M90" s="630"/>
      <c r="N90" s="627"/>
      <c r="O90" s="631"/>
      <c r="P90" s="631"/>
    </row>
    <row r="91" spans="1:16" ht="12.75">
      <c r="A91" s="627"/>
      <c r="B91" s="628"/>
      <c r="C91" s="629"/>
      <c r="D91" s="630"/>
      <c r="E91" s="627"/>
      <c r="F91" s="630"/>
      <c r="G91" s="630"/>
      <c r="H91" s="627"/>
      <c r="I91" s="630"/>
      <c r="J91" s="630"/>
      <c r="K91" s="627"/>
      <c r="L91" s="630"/>
      <c r="M91" s="630"/>
      <c r="N91" s="627"/>
      <c r="O91" s="631"/>
      <c r="P91" s="631"/>
    </row>
    <row r="92" spans="1:16" ht="12.75">
      <c r="A92" s="627"/>
      <c r="B92" s="628"/>
      <c r="C92" s="629"/>
      <c r="D92" s="630"/>
      <c r="E92" s="627"/>
      <c r="F92" s="630"/>
      <c r="G92" s="630"/>
      <c r="H92" s="627"/>
      <c r="I92" s="630"/>
      <c r="J92" s="630"/>
      <c r="K92" s="627"/>
      <c r="L92" s="630"/>
      <c r="M92" s="630"/>
      <c r="N92" s="627"/>
      <c r="O92" s="631"/>
      <c r="P92" s="631"/>
    </row>
    <row r="93" spans="1:16" ht="12.75">
      <c r="A93" s="627"/>
      <c r="B93" s="628"/>
      <c r="C93" s="629"/>
      <c r="D93" s="630"/>
      <c r="E93" s="627"/>
      <c r="F93" s="630"/>
      <c r="G93" s="630"/>
      <c r="H93" s="627"/>
      <c r="I93" s="630"/>
      <c r="J93" s="630"/>
      <c r="K93" s="627"/>
      <c r="L93" s="630"/>
      <c r="M93" s="630"/>
      <c r="N93" s="627"/>
      <c r="O93" s="631"/>
      <c r="P93" s="631"/>
    </row>
    <row r="94" spans="1:16" ht="12.75">
      <c r="A94" s="627"/>
      <c r="B94" s="341"/>
      <c r="C94" s="667"/>
      <c r="D94" s="668"/>
      <c r="E94" s="668"/>
      <c r="F94" s="669"/>
      <c r="G94" s="669"/>
      <c r="H94" s="670"/>
      <c r="I94" s="669"/>
      <c r="J94" s="669"/>
      <c r="K94" s="670"/>
      <c r="L94" s="669"/>
      <c r="M94" s="669"/>
      <c r="N94" s="670"/>
      <c r="O94" s="671"/>
      <c r="P94" s="671"/>
    </row>
    <row r="95" spans="1:16" ht="12.75">
      <c r="A95" s="627"/>
      <c r="B95" s="628"/>
      <c r="C95" s="629"/>
      <c r="D95" s="630"/>
      <c r="E95" s="627"/>
      <c r="F95" s="630"/>
      <c r="G95" s="630"/>
      <c r="H95" s="627"/>
      <c r="I95" s="630"/>
      <c r="J95" s="630"/>
      <c r="K95" s="627"/>
      <c r="L95" s="630"/>
      <c r="M95" s="630"/>
      <c r="N95" s="627"/>
      <c r="O95" s="631"/>
      <c r="P95" s="631"/>
    </row>
    <row r="96" spans="1:16" ht="12.75">
      <c r="A96" s="627"/>
      <c r="B96" s="628"/>
      <c r="C96" s="629"/>
      <c r="D96" s="630"/>
      <c r="E96" s="627"/>
      <c r="F96" s="630"/>
      <c r="G96" s="630"/>
      <c r="H96" s="627"/>
      <c r="I96" s="630"/>
      <c r="J96" s="630"/>
      <c r="K96" s="627"/>
      <c r="L96" s="630"/>
      <c r="M96" s="630"/>
      <c r="N96" s="627"/>
      <c r="O96" s="631"/>
      <c r="P96" s="631"/>
    </row>
    <row r="99" spans="2:3" ht="15.75">
      <c r="B99" s="1145" t="s">
        <v>549</v>
      </c>
      <c r="C99" s="1145"/>
    </row>
    <row r="101" spans="2:4" ht="12.75">
      <c r="B101" s="206" t="s">
        <v>854</v>
      </c>
      <c r="C101" s="291">
        <v>7130820155</v>
      </c>
      <c r="D101" s="204" t="s">
        <v>452</v>
      </c>
    </row>
  </sheetData>
  <sheetProtection/>
  <mergeCells count="22">
    <mergeCell ref="A25:A26"/>
    <mergeCell ref="D1:J1"/>
    <mergeCell ref="B3:M3"/>
    <mergeCell ref="A5:A6"/>
    <mergeCell ref="B5:B6"/>
    <mergeCell ref="C5:C6"/>
    <mergeCell ref="D5:D6"/>
    <mergeCell ref="E5:G5"/>
    <mergeCell ref="H5:J5"/>
    <mergeCell ref="N5:P5"/>
    <mergeCell ref="A8:A12"/>
    <mergeCell ref="A13:A14"/>
    <mergeCell ref="A16:A17"/>
    <mergeCell ref="K5:M5"/>
    <mergeCell ref="A22:A24"/>
    <mergeCell ref="B99:C99"/>
    <mergeCell ref="B68:H68"/>
    <mergeCell ref="A30:A32"/>
    <mergeCell ref="A37:A41"/>
    <mergeCell ref="A64:P64"/>
    <mergeCell ref="B65:H65"/>
    <mergeCell ref="B66:H66"/>
  </mergeCells>
  <printOptions gridLines="1" horizontalCentered="1"/>
  <pageMargins left="0.34" right="0.15748031496063" top="0.6" bottom="0.33" header="0.41" footer="0.24"/>
  <pageSetup fitToHeight="3" horizontalDpi="120" verticalDpi="12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T116"/>
  <sheetViews>
    <sheetView zoomScale="85" zoomScaleNormal="85" zoomScalePageLayoutView="0" workbookViewId="0" topLeftCell="A1">
      <pane xSplit="2" ySplit="7" topLeftCell="F8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9.140625" defaultRowHeight="12.75"/>
  <cols>
    <col min="1" max="1" width="4.7109375" style="36" customWidth="1"/>
    <col min="2" max="2" width="43.140625" style="1" customWidth="1"/>
    <col min="3" max="3" width="15.00390625" style="36" customWidth="1"/>
    <col min="4" max="4" width="6.57421875" style="36" bestFit="1" customWidth="1"/>
    <col min="5" max="5" width="6.57421875" style="1" bestFit="1" customWidth="1"/>
    <col min="6" max="6" width="11.28125" style="1" bestFit="1" customWidth="1"/>
    <col min="7" max="7" width="12.28125" style="1" customWidth="1"/>
    <col min="8" max="8" width="6.57421875" style="1" bestFit="1" customWidth="1"/>
    <col min="9" max="9" width="11.28125" style="1" customWidth="1"/>
    <col min="10" max="10" width="12.421875" style="1" customWidth="1"/>
    <col min="11" max="11" width="9.28125" style="1" bestFit="1" customWidth="1"/>
    <col min="12" max="13" width="12.421875" style="1" customWidth="1"/>
    <col min="14" max="14" width="8.8515625" style="1" customWidth="1"/>
    <col min="15" max="16" width="12.57421875" style="1" bestFit="1" customWidth="1"/>
    <col min="17" max="17" width="12.140625" style="1" customWidth="1"/>
    <col min="18" max="18" width="30.8515625" style="1" customWidth="1"/>
    <col min="19" max="16384" width="9.140625" style="1" customWidth="1"/>
  </cols>
  <sheetData>
    <row r="1" spans="2:16" ht="18">
      <c r="B1" s="57"/>
      <c r="C1" s="57"/>
      <c r="D1" s="57"/>
      <c r="E1" s="57"/>
      <c r="F1" s="1153" t="s">
        <v>1523</v>
      </c>
      <c r="G1" s="1153"/>
      <c r="H1" s="1153"/>
      <c r="I1" s="1153"/>
      <c r="J1" s="1153"/>
      <c r="K1" s="57"/>
      <c r="L1" s="57"/>
      <c r="M1" s="57"/>
      <c r="N1" s="57"/>
      <c r="O1" s="57"/>
      <c r="P1" s="57"/>
    </row>
    <row r="2" spans="1:16" ht="15" customHeight="1">
      <c r="A2" s="673"/>
      <c r="B2" s="44"/>
      <c r="C2" s="674"/>
      <c r="D2" s="84"/>
      <c r="E2" s="673"/>
      <c r="F2" s="7"/>
      <c r="G2" s="7"/>
      <c r="H2" s="673"/>
      <c r="I2" s="7"/>
      <c r="J2" s="7"/>
      <c r="K2" s="673"/>
      <c r="L2" s="7"/>
      <c r="M2" s="7"/>
      <c r="N2" s="1243" t="s">
        <v>551</v>
      </c>
      <c r="O2" s="1243"/>
      <c r="P2" s="7"/>
    </row>
    <row r="3" spans="2:16" ht="37.5" customHeight="1">
      <c r="B3" s="1261" t="s">
        <v>895</v>
      </c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236"/>
      <c r="O3" s="236"/>
      <c r="P3" s="236"/>
    </row>
    <row r="4" spans="1:16" ht="14.25" customHeight="1">
      <c r="A4" s="675"/>
      <c r="B4" s="93"/>
      <c r="C4" s="676"/>
      <c r="D4" s="677"/>
      <c r="E4" s="675"/>
      <c r="F4" s="91"/>
      <c r="G4" s="91"/>
      <c r="H4" s="675"/>
      <c r="I4" s="91"/>
      <c r="J4" s="91"/>
      <c r="K4" s="675"/>
      <c r="L4" s="91"/>
      <c r="M4" s="91"/>
      <c r="N4" s="675"/>
      <c r="O4" s="91"/>
      <c r="P4" s="678"/>
    </row>
    <row r="5" spans="1:16" ht="15.75">
      <c r="A5" s="1262" t="s">
        <v>1335</v>
      </c>
      <c r="B5" s="1262" t="s">
        <v>449</v>
      </c>
      <c r="C5" s="1263" t="s">
        <v>53</v>
      </c>
      <c r="D5" s="1260" t="s">
        <v>450</v>
      </c>
      <c r="E5" s="1260" t="s">
        <v>1300</v>
      </c>
      <c r="F5" s="1260"/>
      <c r="G5" s="1260"/>
      <c r="H5" s="1260" t="s">
        <v>1301</v>
      </c>
      <c r="I5" s="1260"/>
      <c r="J5" s="1260"/>
      <c r="K5" s="1260" t="s">
        <v>1302</v>
      </c>
      <c r="L5" s="1260"/>
      <c r="M5" s="1260"/>
      <c r="N5" s="1260" t="s">
        <v>1303</v>
      </c>
      <c r="O5" s="1260"/>
      <c r="P5" s="1260"/>
    </row>
    <row r="6" spans="1:16" ht="15.75">
      <c r="A6" s="1262"/>
      <c r="B6" s="1262"/>
      <c r="C6" s="1263"/>
      <c r="D6" s="1260"/>
      <c r="E6" s="17" t="s">
        <v>1315</v>
      </c>
      <c r="F6" s="17" t="s">
        <v>799</v>
      </c>
      <c r="G6" s="17" t="s">
        <v>800</v>
      </c>
      <c r="H6" s="17" t="s">
        <v>1315</v>
      </c>
      <c r="I6" s="17" t="s">
        <v>799</v>
      </c>
      <c r="J6" s="17" t="s">
        <v>800</v>
      </c>
      <c r="K6" s="17" t="s">
        <v>1315</v>
      </c>
      <c r="L6" s="17" t="s">
        <v>799</v>
      </c>
      <c r="M6" s="17" t="s">
        <v>800</v>
      </c>
      <c r="N6" s="17" t="s">
        <v>1315</v>
      </c>
      <c r="O6" s="17" t="s">
        <v>799</v>
      </c>
      <c r="P6" s="17" t="s">
        <v>800</v>
      </c>
    </row>
    <row r="7" spans="1:17" ht="15.75">
      <c r="A7" s="679" t="s">
        <v>1548</v>
      </c>
      <c r="B7" s="680" t="s">
        <v>1549</v>
      </c>
      <c r="C7" s="679">
        <v>3</v>
      </c>
      <c r="D7" s="679">
        <v>4</v>
      </c>
      <c r="E7" s="679">
        <v>5</v>
      </c>
      <c r="F7" s="679">
        <v>6</v>
      </c>
      <c r="G7" s="679">
        <v>7</v>
      </c>
      <c r="H7" s="679">
        <v>8</v>
      </c>
      <c r="I7" s="679">
        <v>9</v>
      </c>
      <c r="J7" s="679">
        <v>10</v>
      </c>
      <c r="K7" s="679">
        <v>11</v>
      </c>
      <c r="L7" s="679">
        <v>12</v>
      </c>
      <c r="M7" s="679">
        <v>13</v>
      </c>
      <c r="N7" s="679">
        <v>14</v>
      </c>
      <c r="O7" s="17">
        <v>15</v>
      </c>
      <c r="P7" s="17">
        <v>16</v>
      </c>
      <c r="Q7" s="1" t="s">
        <v>437</v>
      </c>
    </row>
    <row r="8" spans="1:16" ht="18" customHeight="1">
      <c r="A8" s="1254">
        <v>1</v>
      </c>
      <c r="B8" s="173" t="s">
        <v>1304</v>
      </c>
      <c r="C8" s="681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3"/>
    </row>
    <row r="9" spans="1:17" ht="17.25" customHeight="1">
      <c r="A9" s="1255"/>
      <c r="B9" s="127" t="s">
        <v>1305</v>
      </c>
      <c r="C9" s="685">
        <v>7132210008</v>
      </c>
      <c r="D9" s="686" t="s">
        <v>1553</v>
      </c>
      <c r="E9" s="686">
        <v>1</v>
      </c>
      <c r="F9" s="176">
        <f>VLOOKUP(C9,'SOR RATE'!A:D,4,0)</f>
        <v>54268</v>
      </c>
      <c r="G9" s="176">
        <f>F9*E9</f>
        <v>54268</v>
      </c>
      <c r="H9" s="686"/>
      <c r="I9" s="176"/>
      <c r="J9" s="176"/>
      <c r="K9" s="686"/>
      <c r="L9" s="176"/>
      <c r="M9" s="176"/>
      <c r="N9" s="686"/>
      <c r="O9" s="176"/>
      <c r="P9" s="176"/>
      <c r="Q9" s="7"/>
    </row>
    <row r="10" spans="1:20" ht="17.25" customHeight="1">
      <c r="A10" s="1255"/>
      <c r="B10" s="127" t="s">
        <v>1275</v>
      </c>
      <c r="C10" s="685">
        <v>7132210009</v>
      </c>
      <c r="D10" s="686" t="s">
        <v>1553</v>
      </c>
      <c r="E10" s="686"/>
      <c r="F10" s="176"/>
      <c r="G10" s="176"/>
      <c r="H10" s="686">
        <v>1</v>
      </c>
      <c r="I10" s="176">
        <f>VLOOKUP(C10,'SOR RATE'!A:D,4,0)</f>
        <v>88254</v>
      </c>
      <c r="J10" s="176">
        <f>I10*H10</f>
        <v>88254</v>
      </c>
      <c r="K10" s="686"/>
      <c r="L10" s="176"/>
      <c r="M10" s="176"/>
      <c r="N10" s="686"/>
      <c r="O10" s="176"/>
      <c r="P10" s="176"/>
      <c r="Q10" s="101"/>
      <c r="R10" s="97" t="s">
        <v>1276</v>
      </c>
      <c r="S10" s="97"/>
      <c r="T10" s="97"/>
    </row>
    <row r="11" spans="1:17" ht="17.25" customHeight="1">
      <c r="A11" s="1255"/>
      <c r="B11" s="127" t="s">
        <v>1306</v>
      </c>
      <c r="C11" s="685">
        <v>7132210010</v>
      </c>
      <c r="D11" s="686" t="s">
        <v>1553</v>
      </c>
      <c r="E11" s="686"/>
      <c r="F11" s="176"/>
      <c r="G11" s="176"/>
      <c r="H11" s="686"/>
      <c r="I11" s="176"/>
      <c r="J11" s="176"/>
      <c r="K11" s="686">
        <v>1</v>
      </c>
      <c r="L11" s="176">
        <f>VLOOKUP(C11,'SOR RATE'!A:D,4,0)</f>
        <v>119054</v>
      </c>
      <c r="M11" s="176">
        <f>L11*K11</f>
        <v>119054</v>
      </c>
      <c r="N11" s="686"/>
      <c r="O11" s="176"/>
      <c r="P11" s="176"/>
      <c r="Q11" s="7"/>
    </row>
    <row r="12" spans="1:17" ht="17.25" customHeight="1">
      <c r="A12" s="1256"/>
      <c r="B12" s="127" t="s">
        <v>896</v>
      </c>
      <c r="C12" s="685">
        <v>7132210011</v>
      </c>
      <c r="D12" s="686" t="s">
        <v>1553</v>
      </c>
      <c r="E12" s="686"/>
      <c r="F12" s="176"/>
      <c r="G12" s="176"/>
      <c r="H12" s="686"/>
      <c r="I12" s="176"/>
      <c r="J12" s="176"/>
      <c r="K12" s="686"/>
      <c r="L12" s="176"/>
      <c r="M12" s="176"/>
      <c r="N12" s="686">
        <v>1</v>
      </c>
      <c r="O12" s="176">
        <f>VLOOKUP(C12,'SOR RATE'!A:D,4,0)</f>
        <v>220748</v>
      </c>
      <c r="P12" s="176">
        <f>O12*N12</f>
        <v>220748</v>
      </c>
      <c r="Q12" s="7"/>
    </row>
    <row r="13" spans="1:16" ht="17.25" customHeight="1">
      <c r="A13" s="1254">
        <v>2</v>
      </c>
      <c r="B13" s="173" t="s">
        <v>897</v>
      </c>
      <c r="C13" s="685">
        <v>7130800012</v>
      </c>
      <c r="D13" s="686" t="s">
        <v>452</v>
      </c>
      <c r="E13" s="686">
        <v>3</v>
      </c>
      <c r="F13" s="176">
        <f>VLOOKUP(C13,'SOR RATE'!A:D,4,0)</f>
        <v>1654</v>
      </c>
      <c r="G13" s="176">
        <f>F13*E13</f>
        <v>4962</v>
      </c>
      <c r="H13" s="686">
        <v>3</v>
      </c>
      <c r="I13" s="176">
        <f>+F13</f>
        <v>1654</v>
      </c>
      <c r="J13" s="176">
        <f>I13*H13</f>
        <v>4962</v>
      </c>
      <c r="K13" s="687" t="s">
        <v>453</v>
      </c>
      <c r="L13" s="687" t="s">
        <v>453</v>
      </c>
      <c r="M13" s="687" t="s">
        <v>453</v>
      </c>
      <c r="N13" s="687" t="s">
        <v>453</v>
      </c>
      <c r="O13" s="687" t="s">
        <v>453</v>
      </c>
      <c r="P13" s="687" t="s">
        <v>453</v>
      </c>
    </row>
    <row r="14" spans="1:16" ht="63.75" customHeight="1">
      <c r="A14" s="1256"/>
      <c r="B14" s="173" t="s">
        <v>898</v>
      </c>
      <c r="C14" s="685">
        <v>7130600675</v>
      </c>
      <c r="D14" s="686" t="s">
        <v>458</v>
      </c>
      <c r="E14" s="688"/>
      <c r="F14" s="176"/>
      <c r="G14" s="176"/>
      <c r="H14" s="688"/>
      <c r="I14" s="689"/>
      <c r="J14" s="176"/>
      <c r="K14" s="686">
        <f>19.495*11*4</f>
        <v>857.7800000000001</v>
      </c>
      <c r="L14" s="176">
        <f>VLOOKUP(C14,'SOR RATE'!A:D,4,0)/1000</f>
        <v>44.989</v>
      </c>
      <c r="M14" s="176">
        <f>L14*K14</f>
        <v>38590.66442</v>
      </c>
      <c r="N14" s="686">
        <f>+K14</f>
        <v>857.7800000000001</v>
      </c>
      <c r="O14" s="176">
        <f>+L14</f>
        <v>44.989</v>
      </c>
      <c r="P14" s="176">
        <f aca="true" t="shared" si="0" ref="P14:P23">O14*N14</f>
        <v>38590.66442</v>
      </c>
    </row>
    <row r="15" spans="1:16" ht="18.75" customHeight="1">
      <c r="A15" s="686">
        <v>3</v>
      </c>
      <c r="B15" s="173" t="s">
        <v>10</v>
      </c>
      <c r="C15" s="685">
        <v>7130810517</v>
      </c>
      <c r="D15" s="686" t="s">
        <v>452</v>
      </c>
      <c r="E15" s="686">
        <v>1</v>
      </c>
      <c r="F15" s="176">
        <f>VLOOKUP(C15,'SOR RATE'!A:D,4,0)</f>
        <v>4547</v>
      </c>
      <c r="G15" s="176">
        <f aca="true" t="shared" si="1" ref="G15:G24">F15*E15</f>
        <v>4547</v>
      </c>
      <c r="H15" s="686">
        <v>1</v>
      </c>
      <c r="I15" s="176">
        <f aca="true" t="shared" si="2" ref="I15:I28">+F15</f>
        <v>4547</v>
      </c>
      <c r="J15" s="176">
        <f aca="true" t="shared" si="3" ref="J15:J24">I15*H15</f>
        <v>4547</v>
      </c>
      <c r="K15" s="686">
        <v>1</v>
      </c>
      <c r="L15" s="176">
        <f aca="true" t="shared" si="4" ref="L15:L28">+F15</f>
        <v>4547</v>
      </c>
      <c r="M15" s="176">
        <f aca="true" t="shared" si="5" ref="M15:M24">L15*K15</f>
        <v>4547</v>
      </c>
      <c r="N15" s="686">
        <v>1</v>
      </c>
      <c r="O15" s="176">
        <f aca="true" t="shared" si="6" ref="O15:O27">+F15</f>
        <v>4547</v>
      </c>
      <c r="P15" s="176">
        <f t="shared" si="0"/>
        <v>4547</v>
      </c>
    </row>
    <row r="16" spans="1:18" ht="18.75" customHeight="1">
      <c r="A16" s="686">
        <v>4</v>
      </c>
      <c r="B16" s="173" t="s">
        <v>1030</v>
      </c>
      <c r="C16" s="685">
        <v>7130820010</v>
      </c>
      <c r="D16" s="686" t="s">
        <v>452</v>
      </c>
      <c r="E16" s="686">
        <v>3</v>
      </c>
      <c r="F16" s="176">
        <f>VLOOKUP(C16,'SOR RATE'!A:D,4,0)</f>
        <v>140</v>
      </c>
      <c r="G16" s="176">
        <f t="shared" si="1"/>
        <v>420</v>
      </c>
      <c r="H16" s="686">
        <v>3</v>
      </c>
      <c r="I16" s="176">
        <f t="shared" si="2"/>
        <v>140</v>
      </c>
      <c r="J16" s="176">
        <f t="shared" si="3"/>
        <v>420</v>
      </c>
      <c r="K16" s="686">
        <v>3</v>
      </c>
      <c r="L16" s="176">
        <f t="shared" si="4"/>
        <v>140</v>
      </c>
      <c r="M16" s="176">
        <f t="shared" si="5"/>
        <v>420</v>
      </c>
      <c r="N16" s="686">
        <v>3</v>
      </c>
      <c r="O16" s="176">
        <f t="shared" si="6"/>
        <v>140</v>
      </c>
      <c r="P16" s="176">
        <f t="shared" si="0"/>
        <v>420</v>
      </c>
      <c r="R16" s="1072" t="s">
        <v>1031</v>
      </c>
    </row>
    <row r="17" spans="1:18" ht="18.75" customHeight="1">
      <c r="A17" s="686">
        <v>5</v>
      </c>
      <c r="B17" s="173" t="s">
        <v>899</v>
      </c>
      <c r="C17" s="685">
        <v>7130820241</v>
      </c>
      <c r="D17" s="686" t="s">
        <v>452</v>
      </c>
      <c r="E17" s="686">
        <v>3</v>
      </c>
      <c r="F17" s="176">
        <f>VLOOKUP(C17,'SOR RATE'!A:D,4,0)</f>
        <v>123</v>
      </c>
      <c r="G17" s="176">
        <f t="shared" si="1"/>
        <v>369</v>
      </c>
      <c r="H17" s="686">
        <v>3</v>
      </c>
      <c r="I17" s="176">
        <f t="shared" si="2"/>
        <v>123</v>
      </c>
      <c r="J17" s="176">
        <f>I17*H17</f>
        <v>369</v>
      </c>
      <c r="K17" s="686">
        <v>3</v>
      </c>
      <c r="L17" s="176">
        <f t="shared" si="4"/>
        <v>123</v>
      </c>
      <c r="M17" s="176">
        <f t="shared" si="5"/>
        <v>369</v>
      </c>
      <c r="N17" s="686">
        <v>3</v>
      </c>
      <c r="O17" s="176">
        <f t="shared" si="6"/>
        <v>123</v>
      </c>
      <c r="P17" s="176">
        <f t="shared" si="0"/>
        <v>369</v>
      </c>
      <c r="R17" s="1072"/>
    </row>
    <row r="18" spans="1:18" ht="18.75" customHeight="1">
      <c r="A18" s="175">
        <v>6</v>
      </c>
      <c r="B18" s="690" t="s">
        <v>1545</v>
      </c>
      <c r="C18" s="804">
        <v>7130820008</v>
      </c>
      <c r="D18" s="686" t="s">
        <v>452</v>
      </c>
      <c r="E18" s="686">
        <v>6</v>
      </c>
      <c r="F18" s="176">
        <f>VLOOKUP(C18,'SOR RATE'!A:D,4,0)</f>
        <v>157</v>
      </c>
      <c r="G18" s="176">
        <f t="shared" si="1"/>
        <v>942</v>
      </c>
      <c r="H18" s="686">
        <v>6</v>
      </c>
      <c r="I18" s="176">
        <f t="shared" si="2"/>
        <v>157</v>
      </c>
      <c r="J18" s="176">
        <f>I18*H18</f>
        <v>942</v>
      </c>
      <c r="K18" s="686">
        <v>6</v>
      </c>
      <c r="L18" s="176">
        <f t="shared" si="4"/>
        <v>157</v>
      </c>
      <c r="M18" s="176">
        <f>L18*K18</f>
        <v>942</v>
      </c>
      <c r="N18" s="686">
        <v>6</v>
      </c>
      <c r="O18" s="176">
        <f t="shared" si="6"/>
        <v>157</v>
      </c>
      <c r="P18" s="176">
        <f t="shared" si="0"/>
        <v>942</v>
      </c>
      <c r="Q18" s="102"/>
      <c r="R18" s="1072" t="s">
        <v>383</v>
      </c>
    </row>
    <row r="19" spans="1:16" ht="31.5" customHeight="1">
      <c r="A19" s="175">
        <v>7</v>
      </c>
      <c r="B19" s="692" t="s">
        <v>900</v>
      </c>
      <c r="C19" s="693">
        <v>7130810509</v>
      </c>
      <c r="D19" s="691" t="s">
        <v>452</v>
      </c>
      <c r="E19" s="691">
        <v>1</v>
      </c>
      <c r="F19" s="176">
        <f>VLOOKUP(C19,'SOR RATE'!A205:D205,4,0)</f>
        <v>3322</v>
      </c>
      <c r="G19" s="176">
        <f t="shared" si="1"/>
        <v>3322</v>
      </c>
      <c r="H19" s="691">
        <v>1</v>
      </c>
      <c r="I19" s="176">
        <f t="shared" si="2"/>
        <v>3322</v>
      </c>
      <c r="J19" s="176">
        <f t="shared" si="3"/>
        <v>3322</v>
      </c>
      <c r="K19" s="691">
        <v>1</v>
      </c>
      <c r="L19" s="176">
        <f t="shared" si="4"/>
        <v>3322</v>
      </c>
      <c r="M19" s="176">
        <f t="shared" si="5"/>
        <v>3322</v>
      </c>
      <c r="N19" s="691">
        <v>1</v>
      </c>
      <c r="O19" s="176">
        <f t="shared" si="6"/>
        <v>3322</v>
      </c>
      <c r="P19" s="176">
        <f t="shared" si="0"/>
        <v>3322</v>
      </c>
    </row>
    <row r="20" spans="1:16" ht="16.5" customHeight="1">
      <c r="A20" s="686">
        <v>8</v>
      </c>
      <c r="B20" s="173" t="s">
        <v>1064</v>
      </c>
      <c r="C20" s="685">
        <v>7131930412</v>
      </c>
      <c r="D20" s="686" t="s">
        <v>1553</v>
      </c>
      <c r="E20" s="686">
        <v>3</v>
      </c>
      <c r="F20" s="176">
        <f>VLOOKUP(C20,'SOR RATE'!A:D,4,0)</f>
        <v>1199</v>
      </c>
      <c r="G20" s="176">
        <f t="shared" si="1"/>
        <v>3597</v>
      </c>
      <c r="H20" s="686">
        <v>3</v>
      </c>
      <c r="I20" s="176">
        <f t="shared" si="2"/>
        <v>1199</v>
      </c>
      <c r="J20" s="176">
        <f t="shared" si="3"/>
        <v>3597</v>
      </c>
      <c r="K20" s="686">
        <v>3</v>
      </c>
      <c r="L20" s="176">
        <f t="shared" si="4"/>
        <v>1199</v>
      </c>
      <c r="M20" s="176">
        <f t="shared" si="5"/>
        <v>3597</v>
      </c>
      <c r="N20" s="686">
        <v>3</v>
      </c>
      <c r="O20" s="176">
        <f t="shared" si="6"/>
        <v>1199</v>
      </c>
      <c r="P20" s="176">
        <f t="shared" si="0"/>
        <v>3597</v>
      </c>
    </row>
    <row r="21" spans="1:16" ht="30">
      <c r="A21" s="686">
        <v>9</v>
      </c>
      <c r="B21" s="173" t="s">
        <v>901</v>
      </c>
      <c r="C21" s="171">
        <v>7130600023</v>
      </c>
      <c r="D21" s="171" t="s">
        <v>458</v>
      </c>
      <c r="E21" s="686">
        <v>20</v>
      </c>
      <c r="F21" s="176">
        <f>VLOOKUP(C21,'SOR RATE'!A:D,4,0)/1000</f>
        <v>40.214</v>
      </c>
      <c r="G21" s="176">
        <f t="shared" si="1"/>
        <v>804.28</v>
      </c>
      <c r="H21" s="686">
        <v>20</v>
      </c>
      <c r="I21" s="176">
        <f>+F21</f>
        <v>40.214</v>
      </c>
      <c r="J21" s="176">
        <f t="shared" si="3"/>
        <v>804.28</v>
      </c>
      <c r="K21" s="686">
        <v>20</v>
      </c>
      <c r="L21" s="176">
        <f>+F21</f>
        <v>40.214</v>
      </c>
      <c r="M21" s="176">
        <f t="shared" si="5"/>
        <v>804.28</v>
      </c>
      <c r="N21" s="686">
        <v>20</v>
      </c>
      <c r="O21" s="176">
        <f>+F21</f>
        <v>40.214</v>
      </c>
      <c r="P21" s="176">
        <f t="shared" si="0"/>
        <v>804.28</v>
      </c>
    </row>
    <row r="22" spans="1:16" ht="15">
      <c r="A22" s="1254">
        <v>10</v>
      </c>
      <c r="B22" s="127" t="s">
        <v>14</v>
      </c>
      <c r="C22" s="685">
        <v>7130860032</v>
      </c>
      <c r="D22" s="686" t="s">
        <v>452</v>
      </c>
      <c r="E22" s="128">
        <v>4</v>
      </c>
      <c r="F22" s="176">
        <f>VLOOKUP(C22,'SOR RATE'!A:D,4,0)</f>
        <v>387</v>
      </c>
      <c r="G22" s="176">
        <f t="shared" si="1"/>
        <v>1548</v>
      </c>
      <c r="H22" s="128">
        <v>4</v>
      </c>
      <c r="I22" s="176">
        <f t="shared" si="2"/>
        <v>387</v>
      </c>
      <c r="J22" s="176">
        <f t="shared" si="3"/>
        <v>1548</v>
      </c>
      <c r="K22" s="128">
        <v>4</v>
      </c>
      <c r="L22" s="176">
        <f t="shared" si="4"/>
        <v>387</v>
      </c>
      <c r="M22" s="176">
        <f t="shared" si="5"/>
        <v>1548</v>
      </c>
      <c r="N22" s="686">
        <v>4</v>
      </c>
      <c r="O22" s="176">
        <f t="shared" si="6"/>
        <v>387</v>
      </c>
      <c r="P22" s="176">
        <f t="shared" si="0"/>
        <v>1548</v>
      </c>
    </row>
    <row r="23" spans="1:16" ht="30">
      <c r="A23" s="1255"/>
      <c r="B23" s="173" t="s">
        <v>1373</v>
      </c>
      <c r="C23" s="685">
        <v>7130860077</v>
      </c>
      <c r="D23" s="686" t="s">
        <v>458</v>
      </c>
      <c r="E23" s="686">
        <v>22</v>
      </c>
      <c r="F23" s="176">
        <f>VLOOKUP(C23,'SOR RATE'!A:D,4,0)/1000</f>
        <v>61.6</v>
      </c>
      <c r="G23" s="176">
        <f t="shared" si="1"/>
        <v>1355.2</v>
      </c>
      <c r="H23" s="686">
        <v>22</v>
      </c>
      <c r="I23" s="176">
        <f t="shared" si="2"/>
        <v>61.6</v>
      </c>
      <c r="J23" s="176">
        <f t="shared" si="3"/>
        <v>1355.2</v>
      </c>
      <c r="K23" s="686">
        <v>22</v>
      </c>
      <c r="L23" s="176">
        <f t="shared" si="4"/>
        <v>61.6</v>
      </c>
      <c r="M23" s="176">
        <f t="shared" si="5"/>
        <v>1355.2</v>
      </c>
      <c r="N23" s="686">
        <v>22</v>
      </c>
      <c r="O23" s="176">
        <f t="shared" si="6"/>
        <v>61.6</v>
      </c>
      <c r="P23" s="176">
        <f t="shared" si="0"/>
        <v>1355.2</v>
      </c>
    </row>
    <row r="24" spans="1:16" ht="15">
      <c r="A24" s="1255"/>
      <c r="B24" s="173" t="s">
        <v>330</v>
      </c>
      <c r="C24" s="694">
        <v>7130810026</v>
      </c>
      <c r="D24" s="686" t="s">
        <v>452</v>
      </c>
      <c r="E24" s="686">
        <v>4</v>
      </c>
      <c r="F24" s="176">
        <f>VLOOKUP(C24,'SOR RATE'!A:D,4,0)</f>
        <v>142</v>
      </c>
      <c r="G24" s="176">
        <f t="shared" si="1"/>
        <v>568</v>
      </c>
      <c r="H24" s="686">
        <v>4</v>
      </c>
      <c r="I24" s="176">
        <f t="shared" si="2"/>
        <v>142</v>
      </c>
      <c r="J24" s="176">
        <f t="shared" si="3"/>
        <v>568</v>
      </c>
      <c r="K24" s="686">
        <v>4</v>
      </c>
      <c r="L24" s="176">
        <f t="shared" si="4"/>
        <v>142</v>
      </c>
      <c r="M24" s="176">
        <f t="shared" si="5"/>
        <v>568</v>
      </c>
      <c r="N24" s="686"/>
      <c r="O24" s="176"/>
      <c r="P24" s="176"/>
    </row>
    <row r="25" spans="1:16" ht="48" customHeight="1">
      <c r="A25" s="1254">
        <v>11</v>
      </c>
      <c r="B25" s="127" t="s">
        <v>1374</v>
      </c>
      <c r="C25" s="685"/>
      <c r="D25" s="686" t="s">
        <v>454</v>
      </c>
      <c r="E25" s="686">
        <v>1.85</v>
      </c>
      <c r="F25" s="176"/>
      <c r="G25" s="176"/>
      <c r="H25" s="686">
        <v>1.85</v>
      </c>
      <c r="I25" s="176"/>
      <c r="J25" s="176"/>
      <c r="K25" s="695">
        <f>+H25</f>
        <v>1.85</v>
      </c>
      <c r="L25" s="696"/>
      <c r="M25" s="696"/>
      <c r="N25" s="695">
        <f>+K25</f>
        <v>1.85</v>
      </c>
      <c r="O25" s="696"/>
      <c r="P25" s="176"/>
    </row>
    <row r="26" spans="1:16" ht="19.5" customHeight="1">
      <c r="A26" s="1256"/>
      <c r="B26" s="127" t="s">
        <v>1375</v>
      </c>
      <c r="C26" s="685">
        <v>7130200401</v>
      </c>
      <c r="D26" s="697" t="s">
        <v>458</v>
      </c>
      <c r="E26" s="686">
        <v>385</v>
      </c>
      <c r="F26" s="176">
        <f>VLOOKUP(C26,'SOR RATE'!A:D,4,0)/50</f>
        <v>5.36</v>
      </c>
      <c r="G26" s="176">
        <f>F26*E26</f>
        <v>2063.6</v>
      </c>
      <c r="H26" s="686">
        <v>385</v>
      </c>
      <c r="I26" s="176">
        <f t="shared" si="2"/>
        <v>5.36</v>
      </c>
      <c r="J26" s="176">
        <f>I26*H26</f>
        <v>2063.6</v>
      </c>
      <c r="K26" s="686">
        <v>312</v>
      </c>
      <c r="L26" s="176">
        <f t="shared" si="4"/>
        <v>5.36</v>
      </c>
      <c r="M26" s="176">
        <f>L26*K26</f>
        <v>1672.3200000000002</v>
      </c>
      <c r="N26" s="686">
        <v>312</v>
      </c>
      <c r="O26" s="176">
        <f t="shared" si="6"/>
        <v>5.36</v>
      </c>
      <c r="P26" s="176">
        <f>O26*N26</f>
        <v>1672.3200000000002</v>
      </c>
    </row>
    <row r="27" spans="1:16" ht="33.75" customHeight="1">
      <c r="A27" s="686">
        <v>12</v>
      </c>
      <c r="B27" s="698" t="s">
        <v>1376</v>
      </c>
      <c r="C27" s="685">
        <v>7130600023</v>
      </c>
      <c r="D27" s="697" t="s">
        <v>458</v>
      </c>
      <c r="E27" s="686">
        <v>34</v>
      </c>
      <c r="F27" s="176">
        <f>VLOOKUP(C27,'SOR RATE'!A:D,4,0)/1000</f>
        <v>40.214</v>
      </c>
      <c r="G27" s="176">
        <f>F27*E27</f>
        <v>1367.2759999999998</v>
      </c>
      <c r="H27" s="686">
        <v>34</v>
      </c>
      <c r="I27" s="176">
        <f t="shared" si="2"/>
        <v>40.214</v>
      </c>
      <c r="J27" s="176">
        <f>I27*H27</f>
        <v>1367.2759999999998</v>
      </c>
      <c r="K27" s="686">
        <v>34</v>
      </c>
      <c r="L27" s="176">
        <f t="shared" si="4"/>
        <v>40.214</v>
      </c>
      <c r="M27" s="176">
        <f>L27*K27</f>
        <v>1367.2759999999998</v>
      </c>
      <c r="N27" s="686">
        <v>34</v>
      </c>
      <c r="O27" s="176">
        <f t="shared" si="6"/>
        <v>40.214</v>
      </c>
      <c r="P27" s="176">
        <f>O27*N27</f>
        <v>1367.2759999999998</v>
      </c>
    </row>
    <row r="28" spans="1:16" ht="30.75" customHeight="1">
      <c r="A28" s="686">
        <v>13</v>
      </c>
      <c r="B28" s="173" t="s">
        <v>537</v>
      </c>
      <c r="C28" s="685">
        <v>7130850201</v>
      </c>
      <c r="D28" s="686" t="s">
        <v>802</v>
      </c>
      <c r="E28" s="686">
        <v>1</v>
      </c>
      <c r="F28" s="176">
        <f>VLOOKUP(C28,'SOR RATE'!A:D,4,0)</f>
        <v>4547</v>
      </c>
      <c r="G28" s="176">
        <f>F28*E28</f>
        <v>4547</v>
      </c>
      <c r="H28" s="686">
        <v>1</v>
      </c>
      <c r="I28" s="176">
        <f t="shared" si="2"/>
        <v>4547</v>
      </c>
      <c r="J28" s="176">
        <f>I28*H28</f>
        <v>4547</v>
      </c>
      <c r="K28" s="686">
        <v>1</v>
      </c>
      <c r="L28" s="176">
        <f t="shared" si="4"/>
        <v>4547</v>
      </c>
      <c r="M28" s="176">
        <f>L28*K28</f>
        <v>4547</v>
      </c>
      <c r="N28" s="686">
        <v>1</v>
      </c>
      <c r="O28" s="176">
        <f>+F28</f>
        <v>4547</v>
      </c>
      <c r="P28" s="176">
        <f>O28*N28</f>
        <v>4547</v>
      </c>
    </row>
    <row r="29" spans="1:16" ht="18" customHeight="1">
      <c r="A29" s="686">
        <v>14</v>
      </c>
      <c r="B29" s="173" t="s">
        <v>1342</v>
      </c>
      <c r="C29" s="685">
        <v>7130880041</v>
      </c>
      <c r="D29" s="686" t="s">
        <v>1553</v>
      </c>
      <c r="E29" s="686">
        <v>1</v>
      </c>
      <c r="F29" s="176">
        <f>VLOOKUP(C29,'SOR RATE'!A:D,4,0)</f>
        <v>74</v>
      </c>
      <c r="G29" s="176">
        <f>F29*E29</f>
        <v>74</v>
      </c>
      <c r="H29" s="686">
        <v>1</v>
      </c>
      <c r="I29" s="176">
        <f>+F29</f>
        <v>74</v>
      </c>
      <c r="J29" s="176">
        <f>I29*H29</f>
        <v>74</v>
      </c>
      <c r="K29" s="686">
        <v>1</v>
      </c>
      <c r="L29" s="176">
        <f>+F29</f>
        <v>74</v>
      </c>
      <c r="M29" s="176">
        <f>L29*K29</f>
        <v>74</v>
      </c>
      <c r="N29" s="686">
        <v>1</v>
      </c>
      <c r="O29" s="176">
        <f>+F29</f>
        <v>74</v>
      </c>
      <c r="P29" s="176">
        <f>O29*N29</f>
        <v>74</v>
      </c>
    </row>
    <row r="30" spans="1:16" ht="39" customHeight="1">
      <c r="A30" s="1254">
        <v>15</v>
      </c>
      <c r="B30" s="132" t="s">
        <v>1378</v>
      </c>
      <c r="C30" s="699"/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1"/>
    </row>
    <row r="31" spans="1:16" ht="18" customHeight="1">
      <c r="A31" s="1255"/>
      <c r="B31" s="173" t="s">
        <v>1379</v>
      </c>
      <c r="C31" s="685">
        <v>7130641396</v>
      </c>
      <c r="D31" s="686" t="s">
        <v>1368</v>
      </c>
      <c r="E31" s="686">
        <v>9</v>
      </c>
      <c r="F31" s="176">
        <f>VLOOKUP(C31,'SOR RATE'!A:D,4,0)</f>
        <v>190</v>
      </c>
      <c r="G31" s="176">
        <f aca="true" t="shared" si="7" ref="G31:G36">F31*E31</f>
        <v>1710</v>
      </c>
      <c r="H31" s="686">
        <v>9</v>
      </c>
      <c r="I31" s="176">
        <f aca="true" t="shared" si="8" ref="I31:I41">+F31</f>
        <v>190</v>
      </c>
      <c r="J31" s="176">
        <f aca="true" t="shared" si="9" ref="J31:J36">I31*H31</f>
        <v>1710</v>
      </c>
      <c r="K31" s="686">
        <v>9</v>
      </c>
      <c r="L31" s="176">
        <f aca="true" t="shared" si="10" ref="L31:L41">+F31</f>
        <v>190</v>
      </c>
      <c r="M31" s="176">
        <f aca="true" t="shared" si="11" ref="M31:M36">L31*K31</f>
        <v>1710</v>
      </c>
      <c r="N31" s="686">
        <v>9</v>
      </c>
      <c r="O31" s="176">
        <f aca="true" t="shared" si="12" ref="O31:O41">+F31</f>
        <v>190</v>
      </c>
      <c r="P31" s="176">
        <f aca="true" t="shared" si="13" ref="P31:P36">O31*N31</f>
        <v>1710</v>
      </c>
    </row>
    <row r="32" spans="1:16" ht="18" customHeight="1">
      <c r="A32" s="1256"/>
      <c r="B32" s="173" t="s">
        <v>1380</v>
      </c>
      <c r="C32" s="685">
        <v>7130870043</v>
      </c>
      <c r="D32" s="686" t="s">
        <v>458</v>
      </c>
      <c r="E32" s="686">
        <v>15</v>
      </c>
      <c r="F32" s="176">
        <f>VLOOKUP(C32,'SOR RATE'!A:D,4,0)/1000</f>
        <v>55.094</v>
      </c>
      <c r="G32" s="176">
        <f t="shared" si="7"/>
        <v>826.41</v>
      </c>
      <c r="H32" s="686">
        <v>15</v>
      </c>
      <c r="I32" s="176">
        <f t="shared" si="8"/>
        <v>55.094</v>
      </c>
      <c r="J32" s="176">
        <f t="shared" si="9"/>
        <v>826.41</v>
      </c>
      <c r="K32" s="686">
        <v>15</v>
      </c>
      <c r="L32" s="176">
        <f t="shared" si="10"/>
        <v>55.094</v>
      </c>
      <c r="M32" s="176">
        <f t="shared" si="11"/>
        <v>826.41</v>
      </c>
      <c r="N32" s="686">
        <v>15</v>
      </c>
      <c r="O32" s="176">
        <f t="shared" si="12"/>
        <v>55.094</v>
      </c>
      <c r="P32" s="176">
        <f t="shared" si="13"/>
        <v>826.41</v>
      </c>
    </row>
    <row r="33" spans="1:20" ht="18" customHeight="1">
      <c r="A33" s="686">
        <v>16</v>
      </c>
      <c r="B33" s="119" t="s">
        <v>308</v>
      </c>
      <c r="C33" s="12">
        <v>7130610206</v>
      </c>
      <c r="D33" s="128" t="s">
        <v>458</v>
      </c>
      <c r="E33" s="686">
        <v>2</v>
      </c>
      <c r="F33" s="176">
        <f>VLOOKUP(C33,'SOR RATE'!A:D,4,0)/1000</f>
        <v>66.528</v>
      </c>
      <c r="G33" s="176">
        <f t="shared" si="7"/>
        <v>133.056</v>
      </c>
      <c r="H33" s="686">
        <v>2</v>
      </c>
      <c r="I33" s="176">
        <f t="shared" si="8"/>
        <v>66.528</v>
      </c>
      <c r="J33" s="176">
        <f t="shared" si="9"/>
        <v>133.056</v>
      </c>
      <c r="K33" s="686">
        <v>2</v>
      </c>
      <c r="L33" s="176">
        <f t="shared" si="10"/>
        <v>66.528</v>
      </c>
      <c r="M33" s="176">
        <f t="shared" si="11"/>
        <v>133.056</v>
      </c>
      <c r="N33" s="686">
        <v>2</v>
      </c>
      <c r="O33" s="176">
        <f t="shared" si="12"/>
        <v>66.528</v>
      </c>
      <c r="P33" s="176">
        <f t="shared" si="13"/>
        <v>133.056</v>
      </c>
      <c r="Q33" s="1115"/>
      <c r="R33" s="64"/>
      <c r="S33" s="64"/>
      <c r="T33" s="64"/>
    </row>
    <row r="34" spans="1:16" ht="18" customHeight="1">
      <c r="A34" s="686">
        <v>17</v>
      </c>
      <c r="B34" s="173" t="s">
        <v>455</v>
      </c>
      <c r="C34" s="685">
        <v>7130211158</v>
      </c>
      <c r="D34" s="686" t="s">
        <v>456</v>
      </c>
      <c r="E34" s="686">
        <v>1</v>
      </c>
      <c r="F34" s="176">
        <f>VLOOKUP(C34,'SOR RATE'!A:D,4,0)</f>
        <v>130</v>
      </c>
      <c r="G34" s="176">
        <f t="shared" si="7"/>
        <v>130</v>
      </c>
      <c r="H34" s="686">
        <v>1</v>
      </c>
      <c r="I34" s="176">
        <f t="shared" si="8"/>
        <v>130</v>
      </c>
      <c r="J34" s="176">
        <f t="shared" si="9"/>
        <v>130</v>
      </c>
      <c r="K34" s="686">
        <v>3</v>
      </c>
      <c r="L34" s="176">
        <f t="shared" si="10"/>
        <v>130</v>
      </c>
      <c r="M34" s="176">
        <f t="shared" si="11"/>
        <v>390</v>
      </c>
      <c r="N34" s="686">
        <v>3</v>
      </c>
      <c r="O34" s="176">
        <f t="shared" si="12"/>
        <v>130</v>
      </c>
      <c r="P34" s="176">
        <f t="shared" si="13"/>
        <v>390</v>
      </c>
    </row>
    <row r="35" spans="1:16" ht="18" customHeight="1">
      <c r="A35" s="686">
        <v>18</v>
      </c>
      <c r="B35" s="173" t="s">
        <v>457</v>
      </c>
      <c r="C35" s="685">
        <v>7130210809</v>
      </c>
      <c r="D35" s="686" t="s">
        <v>456</v>
      </c>
      <c r="E35" s="686">
        <v>1</v>
      </c>
      <c r="F35" s="176">
        <f>VLOOKUP(C35,'SOR RATE'!A:D,4,0)</f>
        <v>290</v>
      </c>
      <c r="G35" s="176">
        <f t="shared" si="7"/>
        <v>290</v>
      </c>
      <c r="H35" s="686">
        <v>1</v>
      </c>
      <c r="I35" s="176">
        <f t="shared" si="8"/>
        <v>290</v>
      </c>
      <c r="J35" s="176">
        <f t="shared" si="9"/>
        <v>290</v>
      </c>
      <c r="K35" s="686">
        <v>3</v>
      </c>
      <c r="L35" s="176">
        <f t="shared" si="10"/>
        <v>290</v>
      </c>
      <c r="M35" s="176">
        <f t="shared" si="11"/>
        <v>870</v>
      </c>
      <c r="N35" s="686">
        <v>3</v>
      </c>
      <c r="O35" s="176">
        <f t="shared" si="12"/>
        <v>290</v>
      </c>
      <c r="P35" s="176">
        <f t="shared" si="13"/>
        <v>870</v>
      </c>
    </row>
    <row r="36" spans="1:18" ht="17.25" customHeight="1">
      <c r="A36" s="686">
        <v>19</v>
      </c>
      <c r="B36" s="173" t="s">
        <v>1278</v>
      </c>
      <c r="C36" s="685">
        <v>7130840029</v>
      </c>
      <c r="D36" s="686" t="s">
        <v>1553</v>
      </c>
      <c r="E36" s="686">
        <v>3</v>
      </c>
      <c r="F36" s="176">
        <f>VLOOKUP(C36,'SOR RATE'!A:D,4,0)</f>
        <v>425</v>
      </c>
      <c r="G36" s="176">
        <f t="shared" si="7"/>
        <v>1275</v>
      </c>
      <c r="H36" s="686">
        <v>3</v>
      </c>
      <c r="I36" s="176">
        <f t="shared" si="8"/>
        <v>425</v>
      </c>
      <c r="J36" s="176">
        <f t="shared" si="9"/>
        <v>1275</v>
      </c>
      <c r="K36" s="686">
        <v>3</v>
      </c>
      <c r="L36" s="176">
        <f t="shared" si="10"/>
        <v>425</v>
      </c>
      <c r="M36" s="176">
        <f t="shared" si="11"/>
        <v>1275</v>
      </c>
      <c r="N36" s="686">
        <v>3</v>
      </c>
      <c r="O36" s="176">
        <f t="shared" si="12"/>
        <v>425</v>
      </c>
      <c r="P36" s="176">
        <f t="shared" si="13"/>
        <v>1275</v>
      </c>
      <c r="R36" s="1072" t="s">
        <v>1277</v>
      </c>
    </row>
    <row r="37" spans="1:16" ht="15.75">
      <c r="A37" s="1254">
        <v>20</v>
      </c>
      <c r="B37" s="127" t="s">
        <v>1359</v>
      </c>
      <c r="C37" s="685"/>
      <c r="D37" s="686" t="s">
        <v>458</v>
      </c>
      <c r="E37" s="17">
        <v>14</v>
      </c>
      <c r="F37" s="176"/>
      <c r="G37" s="176"/>
      <c r="H37" s="17">
        <v>14</v>
      </c>
      <c r="I37" s="176"/>
      <c r="J37" s="176"/>
      <c r="K37" s="17">
        <v>14</v>
      </c>
      <c r="L37" s="176"/>
      <c r="M37" s="176"/>
      <c r="N37" s="17">
        <v>14</v>
      </c>
      <c r="O37" s="176"/>
      <c r="P37" s="176"/>
    </row>
    <row r="38" spans="1:16" ht="16.5">
      <c r="A38" s="1255"/>
      <c r="B38" s="702" t="s">
        <v>438</v>
      </c>
      <c r="C38" s="685">
        <v>7130620609</v>
      </c>
      <c r="D38" s="686" t="s">
        <v>458</v>
      </c>
      <c r="E38" s="686">
        <v>1</v>
      </c>
      <c r="F38" s="176">
        <f>VLOOKUP(C38,'SOR RATE'!A:D,4,0)</f>
        <v>64</v>
      </c>
      <c r="G38" s="176">
        <f>F38*E38</f>
        <v>64</v>
      </c>
      <c r="H38" s="686">
        <v>1</v>
      </c>
      <c r="I38" s="176">
        <f t="shared" si="8"/>
        <v>64</v>
      </c>
      <c r="J38" s="176">
        <f>I38*H38</f>
        <v>64</v>
      </c>
      <c r="K38" s="686">
        <v>1</v>
      </c>
      <c r="L38" s="176">
        <f t="shared" si="10"/>
        <v>64</v>
      </c>
      <c r="M38" s="176">
        <f>L38*K38</f>
        <v>64</v>
      </c>
      <c r="N38" s="686">
        <v>1</v>
      </c>
      <c r="O38" s="176">
        <f t="shared" si="12"/>
        <v>64</v>
      </c>
      <c r="P38" s="176">
        <f>O38*N38</f>
        <v>64</v>
      </c>
    </row>
    <row r="39" spans="1:16" ht="16.5">
      <c r="A39" s="1255"/>
      <c r="B39" s="702" t="s">
        <v>1336</v>
      </c>
      <c r="C39" s="685">
        <v>7130620614</v>
      </c>
      <c r="D39" s="686" t="s">
        <v>458</v>
      </c>
      <c r="E39" s="686">
        <v>4</v>
      </c>
      <c r="F39" s="176">
        <f>VLOOKUP(C39,'SOR RATE'!A:D,4,0)</f>
        <v>63</v>
      </c>
      <c r="G39" s="176">
        <f>F39*E39</f>
        <v>252</v>
      </c>
      <c r="H39" s="686">
        <v>4</v>
      </c>
      <c r="I39" s="176">
        <f t="shared" si="8"/>
        <v>63</v>
      </c>
      <c r="J39" s="176">
        <f>I39*H39</f>
        <v>252</v>
      </c>
      <c r="K39" s="686">
        <v>4</v>
      </c>
      <c r="L39" s="176">
        <f t="shared" si="10"/>
        <v>63</v>
      </c>
      <c r="M39" s="176">
        <f>L39*K39</f>
        <v>252</v>
      </c>
      <c r="N39" s="686">
        <v>4</v>
      </c>
      <c r="O39" s="176">
        <f t="shared" si="12"/>
        <v>63</v>
      </c>
      <c r="P39" s="176">
        <f>O39*N39</f>
        <v>252</v>
      </c>
    </row>
    <row r="40" spans="1:16" ht="16.5">
      <c r="A40" s="1255"/>
      <c r="B40" s="702" t="s">
        <v>1338</v>
      </c>
      <c r="C40" s="685">
        <v>7130620625</v>
      </c>
      <c r="D40" s="686" t="s">
        <v>458</v>
      </c>
      <c r="E40" s="686">
        <v>4</v>
      </c>
      <c r="F40" s="176">
        <f>VLOOKUP(C40,'SOR RATE'!A:D,4,0)</f>
        <v>62</v>
      </c>
      <c r="G40" s="176">
        <f>F40*E40</f>
        <v>248</v>
      </c>
      <c r="H40" s="686">
        <v>4</v>
      </c>
      <c r="I40" s="176">
        <f t="shared" si="8"/>
        <v>62</v>
      </c>
      <c r="J40" s="176">
        <f>I40*H40</f>
        <v>248</v>
      </c>
      <c r="K40" s="686">
        <v>4</v>
      </c>
      <c r="L40" s="176">
        <f t="shared" si="10"/>
        <v>62</v>
      </c>
      <c r="M40" s="176">
        <f>L40*K40</f>
        <v>248</v>
      </c>
      <c r="N40" s="686">
        <v>4</v>
      </c>
      <c r="O40" s="176">
        <f t="shared" si="12"/>
        <v>62</v>
      </c>
      <c r="P40" s="176">
        <f>O40*N40</f>
        <v>248</v>
      </c>
    </row>
    <row r="41" spans="1:16" ht="16.5">
      <c r="A41" s="1256"/>
      <c r="B41" s="702" t="s">
        <v>1345</v>
      </c>
      <c r="C41" s="685">
        <v>7130620631</v>
      </c>
      <c r="D41" s="686" t="s">
        <v>458</v>
      </c>
      <c r="E41" s="686">
        <v>5</v>
      </c>
      <c r="F41" s="176">
        <f>VLOOKUP(C41,'SOR RATE'!A:D,4,0)</f>
        <v>62</v>
      </c>
      <c r="G41" s="176">
        <f>F41*E41</f>
        <v>310</v>
      </c>
      <c r="H41" s="686">
        <v>5</v>
      </c>
      <c r="I41" s="176">
        <f t="shared" si="8"/>
        <v>62</v>
      </c>
      <c r="J41" s="176">
        <f>I41*H41</f>
        <v>310</v>
      </c>
      <c r="K41" s="686">
        <v>5</v>
      </c>
      <c r="L41" s="176">
        <f t="shared" si="10"/>
        <v>62</v>
      </c>
      <c r="M41" s="176">
        <f>L41*K41</f>
        <v>310</v>
      </c>
      <c r="N41" s="686">
        <v>5</v>
      </c>
      <c r="O41" s="176">
        <f t="shared" si="12"/>
        <v>62</v>
      </c>
      <c r="P41" s="176">
        <f>O41*N41</f>
        <v>310</v>
      </c>
    </row>
    <row r="42" spans="1:16" ht="18" customHeight="1">
      <c r="A42" s="686">
        <v>21</v>
      </c>
      <c r="B42" s="173" t="s">
        <v>1381</v>
      </c>
      <c r="C42" s="685">
        <v>7131920254</v>
      </c>
      <c r="D42" s="686" t="s">
        <v>452</v>
      </c>
      <c r="E42" s="686">
        <v>1</v>
      </c>
      <c r="F42" s="176">
        <f>VLOOKUP(C42,'SOR RATE'!A:D,4,0)</f>
        <v>1634</v>
      </c>
      <c r="G42" s="176">
        <f>F42*E42</f>
        <v>1634</v>
      </c>
      <c r="H42" s="687" t="s">
        <v>453</v>
      </c>
      <c r="I42" s="176"/>
      <c r="J42" s="176"/>
      <c r="K42" s="687" t="s">
        <v>453</v>
      </c>
      <c r="L42" s="176"/>
      <c r="M42" s="176"/>
      <c r="N42" s="687" t="s">
        <v>453</v>
      </c>
      <c r="O42" s="176"/>
      <c r="P42" s="176"/>
    </row>
    <row r="43" spans="1:16" ht="18" customHeight="1">
      <c r="A43" s="686">
        <v>22</v>
      </c>
      <c r="B43" s="174" t="s">
        <v>538</v>
      </c>
      <c r="C43" s="699"/>
      <c r="D43" s="700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1"/>
    </row>
    <row r="44" spans="1:16" ht="18" customHeight="1">
      <c r="A44" s="686" t="s">
        <v>442</v>
      </c>
      <c r="B44" s="173" t="s">
        <v>539</v>
      </c>
      <c r="C44" s="685">
        <v>7130311008</v>
      </c>
      <c r="D44" s="686" t="s">
        <v>1368</v>
      </c>
      <c r="E44" s="686">
        <v>120</v>
      </c>
      <c r="F44" s="176">
        <f>VLOOKUP(C44,'SOR RATE'!A:D,4,0)/1000</f>
        <v>15.99</v>
      </c>
      <c r="G44" s="176">
        <f>F44*E44</f>
        <v>1918.8</v>
      </c>
      <c r="H44" s="687" t="s">
        <v>453</v>
      </c>
      <c r="I44" s="176"/>
      <c r="J44" s="176"/>
      <c r="K44" s="687"/>
      <c r="L44" s="176"/>
      <c r="M44" s="176"/>
      <c r="N44" s="687" t="s">
        <v>453</v>
      </c>
      <c r="O44" s="176"/>
      <c r="P44" s="176"/>
    </row>
    <row r="45" spans="1:16" ht="18" customHeight="1">
      <c r="A45" s="686" t="s">
        <v>460</v>
      </c>
      <c r="B45" s="173" t="s">
        <v>540</v>
      </c>
      <c r="C45" s="685">
        <v>7130310021</v>
      </c>
      <c r="D45" s="686" t="s">
        <v>1368</v>
      </c>
      <c r="E45" s="686"/>
      <c r="F45" s="176"/>
      <c r="G45" s="176"/>
      <c r="H45" s="687">
        <v>80</v>
      </c>
      <c r="I45" s="176">
        <f>VLOOKUP(C45,'SOR RATE'!A:D,4,0)/1000</f>
        <v>39.632</v>
      </c>
      <c r="J45" s="176">
        <f>I45*H45</f>
        <v>3170.56</v>
      </c>
      <c r="K45" s="687"/>
      <c r="L45" s="176"/>
      <c r="M45" s="176"/>
      <c r="N45" s="687"/>
      <c r="O45" s="176"/>
      <c r="P45" s="176"/>
    </row>
    <row r="46" spans="1:16" ht="18" customHeight="1">
      <c r="A46" s="686" t="s">
        <v>131</v>
      </c>
      <c r="B46" s="173" t="s">
        <v>541</v>
      </c>
      <c r="C46" s="685">
        <v>7130311009</v>
      </c>
      <c r="D46" s="686" t="s">
        <v>1368</v>
      </c>
      <c r="E46" s="686"/>
      <c r="F46" s="176"/>
      <c r="G46" s="176"/>
      <c r="H46" s="687">
        <v>40</v>
      </c>
      <c r="I46" s="176">
        <f>VLOOKUP(C46,'SOR RATE'!A:D,4,0)/1000</f>
        <v>38.685</v>
      </c>
      <c r="J46" s="176">
        <f>I46*H46</f>
        <v>1547.4</v>
      </c>
      <c r="K46" s="687">
        <v>120</v>
      </c>
      <c r="L46" s="176">
        <f>+I46</f>
        <v>38.685</v>
      </c>
      <c r="M46" s="176">
        <f>L46*K46</f>
        <v>4642.200000000001</v>
      </c>
      <c r="N46" s="687"/>
      <c r="O46" s="176"/>
      <c r="P46" s="176"/>
    </row>
    <row r="47" spans="1:16" ht="18" customHeight="1">
      <c r="A47" s="686" t="s">
        <v>132</v>
      </c>
      <c r="B47" s="173" t="s">
        <v>1384</v>
      </c>
      <c r="C47" s="685">
        <v>7130311010</v>
      </c>
      <c r="D47" s="686" t="s">
        <v>1368</v>
      </c>
      <c r="E47" s="687" t="s">
        <v>453</v>
      </c>
      <c r="F47" s="176"/>
      <c r="G47" s="176"/>
      <c r="H47" s="686"/>
      <c r="I47" s="176"/>
      <c r="J47" s="176"/>
      <c r="K47" s="686">
        <v>40</v>
      </c>
      <c r="L47" s="176">
        <f>VLOOKUP(C47,'SOR RATE'!A:D,4,0)/1000</f>
        <v>52.581</v>
      </c>
      <c r="M47" s="176">
        <f>L47*K47</f>
        <v>2103.2400000000002</v>
      </c>
      <c r="N47" s="687">
        <v>120</v>
      </c>
      <c r="O47" s="176">
        <f>+L47</f>
        <v>52.581</v>
      </c>
      <c r="P47" s="176">
        <f>O47*N47</f>
        <v>6309.72</v>
      </c>
    </row>
    <row r="48" spans="1:16" ht="18" customHeight="1">
      <c r="A48" s="684" t="s">
        <v>133</v>
      </c>
      <c r="B48" s="173" t="s">
        <v>1385</v>
      </c>
      <c r="C48" s="685">
        <v>7130311011</v>
      </c>
      <c r="D48" s="686" t="s">
        <v>1368</v>
      </c>
      <c r="E48" s="687" t="s">
        <v>453</v>
      </c>
      <c r="F48" s="176"/>
      <c r="G48" s="176"/>
      <c r="H48" s="687"/>
      <c r="I48" s="176"/>
      <c r="J48" s="176"/>
      <c r="K48" s="686"/>
      <c r="L48" s="176"/>
      <c r="M48" s="176"/>
      <c r="N48" s="686">
        <v>40</v>
      </c>
      <c r="O48" s="176">
        <f>VLOOKUP(C48,'SOR RATE'!A:D,4,0)/1000</f>
        <v>101.586</v>
      </c>
      <c r="P48" s="176">
        <f>O48*N48</f>
        <v>4063.44</v>
      </c>
    </row>
    <row r="49" spans="1:16" ht="47.25" customHeight="1">
      <c r="A49" s="128">
        <v>23</v>
      </c>
      <c r="B49" s="126" t="s">
        <v>1387</v>
      </c>
      <c r="C49" s="699"/>
      <c r="D49" s="700"/>
      <c r="E49" s="700"/>
      <c r="F49" s="700"/>
      <c r="G49" s="700"/>
      <c r="H49" s="700"/>
      <c r="I49" s="700"/>
      <c r="J49" s="700"/>
      <c r="K49" s="700"/>
      <c r="L49" s="700"/>
      <c r="M49" s="700"/>
      <c r="N49" s="700"/>
      <c r="O49" s="700"/>
      <c r="P49" s="701"/>
    </row>
    <row r="50" spans="1:16" ht="19.5" customHeight="1">
      <c r="A50" s="686" t="s">
        <v>442</v>
      </c>
      <c r="B50" s="173" t="s">
        <v>1388</v>
      </c>
      <c r="C50" s="685">
        <v>7131950065</v>
      </c>
      <c r="D50" s="686" t="s">
        <v>1553</v>
      </c>
      <c r="E50" s="686"/>
      <c r="F50" s="176"/>
      <c r="G50" s="176"/>
      <c r="H50" s="686">
        <v>1</v>
      </c>
      <c r="I50" s="176">
        <f>VLOOKUP(C50,'SOR RATE'!A:D,4,0)</f>
        <v>13758</v>
      </c>
      <c r="J50" s="176">
        <f>I50*H50</f>
        <v>13758</v>
      </c>
      <c r="K50" s="687" t="s">
        <v>453</v>
      </c>
      <c r="L50" s="176"/>
      <c r="M50" s="176"/>
      <c r="N50" s="687"/>
      <c r="O50" s="176"/>
      <c r="P50" s="176"/>
    </row>
    <row r="51" spans="1:16" ht="19.5" customHeight="1">
      <c r="A51" s="686" t="s">
        <v>460</v>
      </c>
      <c r="B51" s="173" t="s">
        <v>1389</v>
      </c>
      <c r="C51" s="685">
        <v>7131950105</v>
      </c>
      <c r="D51" s="686" t="s">
        <v>1553</v>
      </c>
      <c r="E51" s="686"/>
      <c r="F51" s="176"/>
      <c r="G51" s="176"/>
      <c r="H51" s="686"/>
      <c r="I51" s="176"/>
      <c r="J51" s="703"/>
      <c r="K51" s="686">
        <v>1</v>
      </c>
      <c r="L51" s="176">
        <f>VLOOKUP(C51,'SOR RATE'!A:D,4,0)</f>
        <v>17198</v>
      </c>
      <c r="M51" s="176">
        <f>L51*K51</f>
        <v>17198</v>
      </c>
      <c r="N51" s="686"/>
      <c r="O51" s="176"/>
      <c r="P51" s="176"/>
    </row>
    <row r="52" spans="1:16" ht="19.5" customHeight="1">
      <c r="A52" s="686" t="s">
        <v>131</v>
      </c>
      <c r="B52" s="173" t="s">
        <v>1390</v>
      </c>
      <c r="C52" s="685">
        <v>7131950200</v>
      </c>
      <c r="D52" s="686" t="s">
        <v>1553</v>
      </c>
      <c r="E52" s="686"/>
      <c r="F52" s="176"/>
      <c r="G52" s="176"/>
      <c r="H52" s="686"/>
      <c r="I52" s="176"/>
      <c r="J52" s="704"/>
      <c r="K52" s="686"/>
      <c r="L52" s="176"/>
      <c r="M52" s="176"/>
      <c r="N52" s="686">
        <v>1</v>
      </c>
      <c r="O52" s="176">
        <f>VLOOKUP(C52,'SOR RATE'!A:D,4,0)</f>
        <v>34396</v>
      </c>
      <c r="P52" s="176">
        <f>O52*N52</f>
        <v>34396</v>
      </c>
    </row>
    <row r="53" spans="1:16" ht="19.5" customHeight="1">
      <c r="A53" s="686">
        <v>24</v>
      </c>
      <c r="B53" s="173" t="s">
        <v>1391</v>
      </c>
      <c r="C53" s="685">
        <v>7131930221</v>
      </c>
      <c r="D53" s="686" t="s">
        <v>1553</v>
      </c>
      <c r="E53" s="687" t="s">
        <v>453</v>
      </c>
      <c r="F53" s="176"/>
      <c r="G53" s="176"/>
      <c r="H53" s="687" t="s">
        <v>453</v>
      </c>
      <c r="I53" s="176"/>
      <c r="J53" s="176"/>
      <c r="K53" s="687">
        <v>1</v>
      </c>
      <c r="L53" s="176">
        <f>VLOOKUP(C53,'SOR RATE'!A:D,4,0)</f>
        <v>7750</v>
      </c>
      <c r="M53" s="176">
        <f>L53*K53</f>
        <v>7750</v>
      </c>
      <c r="N53" s="687">
        <v>1</v>
      </c>
      <c r="O53" s="176">
        <f>+L53</f>
        <v>7750</v>
      </c>
      <c r="P53" s="176">
        <f>O53*N53</f>
        <v>7750</v>
      </c>
    </row>
    <row r="54" spans="1:18" ht="19.5" customHeight="1">
      <c r="A54" s="17">
        <v>25</v>
      </c>
      <c r="B54" s="125" t="s">
        <v>1576</v>
      </c>
      <c r="C54" s="705"/>
      <c r="D54" s="17"/>
      <c r="E54" s="17"/>
      <c r="F54" s="17"/>
      <c r="G54" s="130">
        <f>SUM(G9:G53)</f>
        <v>93545.622</v>
      </c>
      <c r="H54" s="130"/>
      <c r="I54" s="130"/>
      <c r="J54" s="130">
        <f>SUM(J9:J53)</f>
        <v>142454.782</v>
      </c>
      <c r="K54" s="130"/>
      <c r="L54" s="130"/>
      <c r="M54" s="130">
        <f>SUM(M9:M53)</f>
        <v>220549.64642000003</v>
      </c>
      <c r="N54" s="130"/>
      <c r="O54" s="130"/>
      <c r="P54" s="130">
        <f>SUM(P9:P53)</f>
        <v>342501.36642</v>
      </c>
      <c r="Q54" s="101"/>
      <c r="R54" s="7"/>
    </row>
    <row r="55" spans="1:18" ht="21" customHeight="1">
      <c r="A55" s="175">
        <v>26</v>
      </c>
      <c r="B55" s="119" t="s">
        <v>1575</v>
      </c>
      <c r="C55" s="706"/>
      <c r="D55" s="707"/>
      <c r="E55" s="707"/>
      <c r="F55" s="708">
        <v>0.09</v>
      </c>
      <c r="G55" s="696">
        <f>G54*F55</f>
        <v>8419.10598</v>
      </c>
      <c r="H55" s="709"/>
      <c r="I55" s="708">
        <v>0.09</v>
      </c>
      <c r="J55" s="696">
        <f>J54*I55</f>
        <v>12820.93038</v>
      </c>
      <c r="K55" s="709"/>
      <c r="L55" s="708">
        <v>0.09</v>
      </c>
      <c r="M55" s="696">
        <f>M54*L55</f>
        <v>19849.4681778</v>
      </c>
      <c r="N55" s="709"/>
      <c r="O55" s="708">
        <v>0.09</v>
      </c>
      <c r="P55" s="696">
        <f>P54*O55</f>
        <v>30825.122977799998</v>
      </c>
      <c r="Q55" s="101"/>
      <c r="R55" s="97"/>
    </row>
    <row r="56" spans="1:18" ht="33" customHeight="1">
      <c r="A56" s="175">
        <v>27</v>
      </c>
      <c r="B56" s="173" t="s">
        <v>316</v>
      </c>
      <c r="C56" s="711"/>
      <c r="D56" s="171" t="s">
        <v>452</v>
      </c>
      <c r="E56" s="708">
        <v>3</v>
      </c>
      <c r="F56" s="3">
        <f>132*1.11*1.0891*1.086275*1.1112*1.0685</f>
        <v>205.81224590423886</v>
      </c>
      <c r="G56" s="696">
        <f>E56*F56</f>
        <v>617.4367377127166</v>
      </c>
      <c r="H56" s="709">
        <v>3</v>
      </c>
      <c r="I56" s="696">
        <f>+F56</f>
        <v>205.81224590423886</v>
      </c>
      <c r="J56" s="696">
        <f>H56*I56</f>
        <v>617.4367377127166</v>
      </c>
      <c r="K56" s="709">
        <v>0</v>
      </c>
      <c r="L56" s="708">
        <v>0</v>
      </c>
      <c r="M56" s="708">
        <v>0</v>
      </c>
      <c r="N56" s="709">
        <v>0</v>
      </c>
      <c r="O56" s="708">
        <v>0</v>
      </c>
      <c r="P56" s="708">
        <v>0</v>
      </c>
      <c r="Q56" s="102"/>
      <c r="R56" s="710"/>
    </row>
    <row r="57" spans="1:16" ht="33.75" customHeight="1">
      <c r="A57" s="171">
        <v>28</v>
      </c>
      <c r="B57" s="698" t="s">
        <v>1372</v>
      </c>
      <c r="C57" s="712"/>
      <c r="D57" s="171" t="s">
        <v>454</v>
      </c>
      <c r="E57" s="171">
        <v>1.85</v>
      </c>
      <c r="F57" s="172">
        <f>1664*1.27*1.0891*1.086275*1.1112*1.0685</f>
        <v>2968.460981603261</v>
      </c>
      <c r="G57" s="172">
        <f>F57*E57</f>
        <v>5491.652815966034</v>
      </c>
      <c r="H57" s="171">
        <f>+E57</f>
        <v>1.85</v>
      </c>
      <c r="I57" s="172">
        <f>+F57</f>
        <v>2968.460981603261</v>
      </c>
      <c r="J57" s="172">
        <f>I57*H57</f>
        <v>5491.652815966034</v>
      </c>
      <c r="K57" s="172">
        <f>+H57</f>
        <v>1.85</v>
      </c>
      <c r="L57" s="172">
        <f>+I57</f>
        <v>2968.460981603261</v>
      </c>
      <c r="M57" s="172">
        <f>L57*K57</f>
        <v>5491.652815966034</v>
      </c>
      <c r="N57" s="176">
        <f>+K57</f>
        <v>1.85</v>
      </c>
      <c r="O57" s="172">
        <f>+L57</f>
        <v>2968.460981603261</v>
      </c>
      <c r="P57" s="172">
        <f>O57*N57</f>
        <v>5491.652815966034</v>
      </c>
    </row>
    <row r="58" spans="1:16" ht="34.5" customHeight="1">
      <c r="A58" s="171">
        <v>29</v>
      </c>
      <c r="B58" s="698" t="s">
        <v>1392</v>
      </c>
      <c r="C58" s="712"/>
      <c r="D58" s="171" t="s">
        <v>452</v>
      </c>
      <c r="E58" s="171">
        <v>1</v>
      </c>
      <c r="F58" s="172">
        <f>3075*1.27*1.0891*1.086275*1.1112*1.0685</f>
        <v>5485.587450979585</v>
      </c>
      <c r="G58" s="172">
        <f>F58*E58</f>
        <v>5485.587450979585</v>
      </c>
      <c r="H58" s="171">
        <v>1</v>
      </c>
      <c r="I58" s="172">
        <f>+F58</f>
        <v>5485.587450979585</v>
      </c>
      <c r="J58" s="172">
        <f>I58*H58</f>
        <v>5485.587450979585</v>
      </c>
      <c r="K58" s="713">
        <v>1</v>
      </c>
      <c r="L58" s="172">
        <f>+F58</f>
        <v>5485.587450979585</v>
      </c>
      <c r="M58" s="172">
        <f>L58*K58</f>
        <v>5485.587450979585</v>
      </c>
      <c r="N58" s="686">
        <v>1</v>
      </c>
      <c r="O58" s="172">
        <f>+F58</f>
        <v>5485.587450979585</v>
      </c>
      <c r="P58" s="172">
        <f>O58*N58</f>
        <v>5485.587450979585</v>
      </c>
    </row>
    <row r="59" spans="1:17" ht="19.5" customHeight="1">
      <c r="A59" s="686">
        <v>30</v>
      </c>
      <c r="B59" s="173" t="s">
        <v>542</v>
      </c>
      <c r="C59" s="685"/>
      <c r="D59" s="686"/>
      <c r="E59" s="686"/>
      <c r="F59" s="686"/>
      <c r="G59" s="176">
        <v>7965.45</v>
      </c>
      <c r="H59" s="686"/>
      <c r="I59" s="686"/>
      <c r="J59" s="176">
        <v>8367.24</v>
      </c>
      <c r="K59" s="686"/>
      <c r="L59" s="686"/>
      <c r="M59" s="176">
        <f>+J59</f>
        <v>8367.24</v>
      </c>
      <c r="N59" s="686"/>
      <c r="O59" s="686"/>
      <c r="P59" s="176">
        <v>10382.45</v>
      </c>
      <c r="Q59" s="432"/>
    </row>
    <row r="60" spans="1:16" ht="62.25" customHeight="1">
      <c r="A60" s="686">
        <v>31</v>
      </c>
      <c r="B60" s="173" t="s">
        <v>318</v>
      </c>
      <c r="C60" s="712"/>
      <c r="D60" s="686"/>
      <c r="E60" s="686"/>
      <c r="F60" s="686"/>
      <c r="G60" s="176">
        <f>1.1*1.1*2363*1.2*1.1*1.1797*1.1402*0.9368</f>
        <v>4755.7883787147575</v>
      </c>
      <c r="H60" s="686"/>
      <c r="I60" s="686"/>
      <c r="J60" s="176">
        <f>1.1*1.1*2616*1.2*1.1*1.1797*1.1402*0.9368</f>
        <v>5264.9777396182</v>
      </c>
      <c r="K60" s="686"/>
      <c r="L60" s="686"/>
      <c r="M60" s="176">
        <f>+J60</f>
        <v>5264.9777396182</v>
      </c>
      <c r="N60" s="686"/>
      <c r="O60" s="686"/>
      <c r="P60" s="176">
        <f>+J60</f>
        <v>5264.9777396182</v>
      </c>
    </row>
    <row r="61" spans="1:17" ht="19.5" customHeight="1">
      <c r="A61" s="17">
        <v>32</v>
      </c>
      <c r="B61" s="125" t="s">
        <v>1577</v>
      </c>
      <c r="C61" s="712"/>
      <c r="D61" s="686"/>
      <c r="E61" s="686"/>
      <c r="F61" s="686"/>
      <c r="G61" s="130">
        <f>G54+G55+G56+G57+G58+G59+G60</f>
        <v>126280.64336337309</v>
      </c>
      <c r="H61" s="17"/>
      <c r="I61" s="17"/>
      <c r="J61" s="130">
        <f>J54+J55+J56+J57+J58+J59+J60</f>
        <v>180502.60712427652</v>
      </c>
      <c r="K61" s="130"/>
      <c r="L61" s="130"/>
      <c r="M61" s="130">
        <f>M54+M55+M56+M57+M58+M59+M60</f>
        <v>265008.57260436384</v>
      </c>
      <c r="N61" s="130"/>
      <c r="O61" s="130"/>
      <c r="P61" s="130">
        <f>P54+P55+P56+P57+P58+P59+P60</f>
        <v>399951.1574043638</v>
      </c>
      <c r="Q61" s="102"/>
    </row>
    <row r="62" spans="1:17" ht="48.75" customHeight="1">
      <c r="A62" s="686">
        <v>33</v>
      </c>
      <c r="B62" s="119" t="s">
        <v>1578</v>
      </c>
      <c r="C62" s="712"/>
      <c r="D62" s="686"/>
      <c r="E62" s="686"/>
      <c r="F62" s="686">
        <v>0.11</v>
      </c>
      <c r="G62" s="176">
        <f>G54*F62</f>
        <v>10290.01842</v>
      </c>
      <c r="H62" s="686"/>
      <c r="I62" s="686">
        <v>0.11</v>
      </c>
      <c r="J62" s="176">
        <f>J54*I62</f>
        <v>15670.026020000001</v>
      </c>
      <c r="K62" s="686"/>
      <c r="L62" s="686">
        <v>0.11</v>
      </c>
      <c r="M62" s="176">
        <f>M54*L62</f>
        <v>24260.461106200004</v>
      </c>
      <c r="N62" s="686"/>
      <c r="O62" s="686">
        <v>0.11</v>
      </c>
      <c r="P62" s="176">
        <f>P54*O62</f>
        <v>37675.1503062</v>
      </c>
      <c r="Q62" s="102"/>
    </row>
    <row r="63" spans="1:16" ht="23.25" customHeight="1">
      <c r="A63" s="128">
        <v>34</v>
      </c>
      <c r="B63" s="127" t="s">
        <v>1395</v>
      </c>
      <c r="C63" s="714"/>
      <c r="D63" s="128"/>
      <c r="E63" s="128"/>
      <c r="F63" s="128"/>
      <c r="G63" s="696">
        <f>G61+G62</f>
        <v>136570.6617833731</v>
      </c>
      <c r="H63" s="696"/>
      <c r="I63" s="696"/>
      <c r="J63" s="696">
        <f>J61+J62</f>
        <v>196172.6331442765</v>
      </c>
      <c r="K63" s="696"/>
      <c r="L63" s="696"/>
      <c r="M63" s="696">
        <f>M61+M62</f>
        <v>289269.03371056385</v>
      </c>
      <c r="N63" s="696"/>
      <c r="O63" s="696"/>
      <c r="P63" s="696">
        <f>P61+P62</f>
        <v>437626.30771056376</v>
      </c>
    </row>
    <row r="64" spans="1:16" ht="33" customHeight="1">
      <c r="A64" s="17">
        <v>35</v>
      </c>
      <c r="B64" s="132" t="s">
        <v>1487</v>
      </c>
      <c r="C64" s="715"/>
      <c r="D64" s="17"/>
      <c r="E64" s="17"/>
      <c r="F64" s="17"/>
      <c r="G64" s="4">
        <f>ROUND(G63,0)</f>
        <v>136571</v>
      </c>
      <c r="H64" s="4"/>
      <c r="I64" s="4"/>
      <c r="J64" s="4">
        <f>ROUND(J63,0)</f>
        <v>196173</v>
      </c>
      <c r="K64" s="4"/>
      <c r="L64" s="4"/>
      <c r="M64" s="4">
        <f>ROUND(M63,0)</f>
        <v>289269</v>
      </c>
      <c r="N64" s="4"/>
      <c r="O64" s="4"/>
      <c r="P64" s="4">
        <f>ROUND(P63,0)</f>
        <v>437626</v>
      </c>
    </row>
    <row r="65" spans="1:16" ht="15.75">
      <c r="A65" s="1257"/>
      <c r="B65" s="1257"/>
      <c r="C65" s="1257"/>
      <c r="D65" s="1257"/>
      <c r="E65" s="1257"/>
      <c r="F65" s="1257"/>
      <c r="G65" s="1257"/>
      <c r="H65" s="1257"/>
      <c r="I65" s="1257"/>
      <c r="J65" s="1257"/>
      <c r="K65" s="1257"/>
      <c r="L65" s="1257"/>
      <c r="M65" s="1257"/>
      <c r="N65" s="1257"/>
      <c r="O65" s="1257"/>
      <c r="P65" s="1257"/>
    </row>
    <row r="66" spans="1:16" ht="15.75" customHeight="1">
      <c r="A66" s="716"/>
      <c r="B66" s="1258" t="s">
        <v>1396</v>
      </c>
      <c r="C66" s="1258"/>
      <c r="D66" s="1258"/>
      <c r="E66" s="1258"/>
      <c r="F66" s="1258"/>
      <c r="G66" s="1258"/>
      <c r="H66" s="1258"/>
      <c r="I66" s="1258"/>
      <c r="J66" s="44"/>
      <c r="K66" s="44"/>
      <c r="L66" s="44"/>
      <c r="M66" s="44"/>
      <c r="N66" s="44"/>
      <c r="O66" s="44"/>
      <c r="P66" s="44"/>
    </row>
    <row r="67" spans="1:16" ht="15">
      <c r="A67" s="673"/>
      <c r="B67" s="1259" t="s">
        <v>1210</v>
      </c>
      <c r="C67" s="1259"/>
      <c r="D67" s="1259"/>
      <c r="E67" s="1259"/>
      <c r="F67" s="1259"/>
      <c r="G67" s="1259"/>
      <c r="H67" s="1259"/>
      <c r="I67" s="1259"/>
      <c r="J67" s="355"/>
      <c r="K67" s="355"/>
      <c r="L67" s="355"/>
      <c r="M67" s="355"/>
      <c r="N67" s="355"/>
      <c r="O67" s="355"/>
      <c r="P67" s="355"/>
    </row>
    <row r="68" spans="1:16" ht="15">
      <c r="A68" s="673"/>
      <c r="B68" s="44"/>
      <c r="C68" s="674"/>
      <c r="D68" s="84"/>
      <c r="E68" s="673"/>
      <c r="F68" s="7"/>
      <c r="G68" s="7"/>
      <c r="H68" s="673"/>
      <c r="I68" s="7"/>
      <c r="J68" s="7"/>
      <c r="K68" s="673"/>
      <c r="L68" s="7"/>
      <c r="M68" s="7"/>
      <c r="N68" s="673"/>
      <c r="O68" s="7"/>
      <c r="P68" s="7"/>
    </row>
    <row r="69" spans="2:9" ht="33.75" customHeight="1">
      <c r="B69" s="1253" t="s">
        <v>1398</v>
      </c>
      <c r="C69" s="1253"/>
      <c r="D69" s="1253"/>
      <c r="E69" s="1253"/>
      <c r="F69" s="1253"/>
      <c r="G69" s="1253"/>
      <c r="H69" s="1253"/>
      <c r="I69" s="1253"/>
    </row>
    <row r="72" spans="1:16" ht="12.75">
      <c r="A72" s="89"/>
      <c r="B72" s="666"/>
      <c r="C72" s="89"/>
      <c r="D72" s="89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ht="12.75">
      <c r="A73" s="89"/>
      <c r="B73" s="65"/>
      <c r="C73" s="89"/>
      <c r="D73" s="89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ht="15">
      <c r="A74" s="717"/>
      <c r="B74" s="69"/>
      <c r="C74" s="718"/>
      <c r="D74" s="717"/>
      <c r="E74" s="717"/>
      <c r="F74" s="719"/>
      <c r="G74" s="719"/>
      <c r="H74" s="720"/>
      <c r="I74" s="719"/>
      <c r="J74" s="719"/>
      <c r="K74" s="720"/>
      <c r="L74" s="719"/>
      <c r="M74" s="719"/>
      <c r="N74" s="720"/>
      <c r="O74" s="719"/>
      <c r="P74" s="719"/>
    </row>
    <row r="75" spans="1:16" ht="12.75">
      <c r="A75" s="89"/>
      <c r="B75" s="65"/>
      <c r="C75" s="89"/>
      <c r="D75" s="89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114" spans="2:3" ht="15.75">
      <c r="B114" s="1145" t="s">
        <v>549</v>
      </c>
      <c r="C114" s="1145"/>
    </row>
    <row r="116" spans="2:4" ht="15">
      <c r="B116" s="690" t="s">
        <v>854</v>
      </c>
      <c r="C116" s="804">
        <v>7130820155</v>
      </c>
      <c r="D116" s="686" t="s">
        <v>452</v>
      </c>
    </row>
  </sheetData>
  <sheetProtection/>
  <mergeCells count="22">
    <mergeCell ref="A25:A26"/>
    <mergeCell ref="A30:A32"/>
    <mergeCell ref="F1:J1"/>
    <mergeCell ref="N2:O2"/>
    <mergeCell ref="B3:M3"/>
    <mergeCell ref="A5:A6"/>
    <mergeCell ref="B5:B6"/>
    <mergeCell ref="C5:C6"/>
    <mergeCell ref="D5:D6"/>
    <mergeCell ref="E5:G5"/>
    <mergeCell ref="N5:P5"/>
    <mergeCell ref="A8:A12"/>
    <mergeCell ref="A13:A14"/>
    <mergeCell ref="A22:A24"/>
    <mergeCell ref="H5:J5"/>
    <mergeCell ref="K5:M5"/>
    <mergeCell ref="B114:C114"/>
    <mergeCell ref="B69:I69"/>
    <mergeCell ref="A37:A41"/>
    <mergeCell ref="A65:P65"/>
    <mergeCell ref="B66:I66"/>
    <mergeCell ref="B67:I67"/>
  </mergeCells>
  <printOptions/>
  <pageMargins left="0.52" right="0.17" top="0.67" bottom="0.31" header="0.41" footer="0.21"/>
  <pageSetup fitToHeight="3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V88"/>
  <sheetViews>
    <sheetView zoomScaleSheetLayoutView="70" zoomScalePageLayoutView="0" workbookViewId="0" topLeftCell="A1">
      <pane xSplit="2" ySplit="7" topLeftCell="C8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9.140625" defaultRowHeight="12.75"/>
  <cols>
    <col min="1" max="1" width="4.8515625" style="36" customWidth="1"/>
    <col min="2" max="2" width="42.57421875" style="1" customWidth="1"/>
    <col min="3" max="3" width="13.421875" style="1" customWidth="1"/>
    <col min="4" max="4" width="5.8515625" style="1" bestFit="1" customWidth="1"/>
    <col min="5" max="5" width="6.7109375" style="1" customWidth="1"/>
    <col min="6" max="6" width="9.8515625" style="1" bestFit="1" customWidth="1"/>
    <col min="7" max="7" width="11.140625" style="1" customWidth="1"/>
    <col min="8" max="8" width="6.7109375" style="1" customWidth="1"/>
    <col min="9" max="9" width="9.8515625" style="1" bestFit="1" customWidth="1"/>
    <col min="10" max="10" width="11.140625" style="1" customWidth="1"/>
    <col min="11" max="11" width="6.7109375" style="1" customWidth="1"/>
    <col min="12" max="12" width="11.00390625" style="1" bestFit="1" customWidth="1"/>
    <col min="13" max="13" width="11.28125" style="1" customWidth="1"/>
    <col min="14" max="14" width="6.7109375" style="1" customWidth="1"/>
    <col min="15" max="16" width="11.00390625" style="1" bestFit="1" customWidth="1"/>
    <col min="17" max="17" width="8.28125" style="1" customWidth="1"/>
    <col min="18" max="18" width="22.7109375" style="1" customWidth="1"/>
    <col min="19" max="16384" width="9.140625" style="1" customWidth="1"/>
  </cols>
  <sheetData>
    <row r="1" spans="2:16" ht="18">
      <c r="B1" s="57"/>
      <c r="C1" s="57"/>
      <c r="D1" s="57"/>
      <c r="E1" s="57"/>
      <c r="F1" s="1153" t="s">
        <v>1524</v>
      </c>
      <c r="G1" s="1153"/>
      <c r="H1" s="1153"/>
      <c r="I1" s="1153"/>
      <c r="J1" s="1153"/>
      <c r="K1" s="57"/>
      <c r="L1" s="57"/>
      <c r="M1" s="57"/>
      <c r="N1" s="57"/>
      <c r="O1" s="57"/>
      <c r="P1" s="57"/>
    </row>
    <row r="2" spans="1:16" ht="13.5" customHeight="1">
      <c r="A2" s="673"/>
      <c r="B2" s="44"/>
      <c r="C2" s="722"/>
      <c r="D2" s="723"/>
      <c r="E2" s="673"/>
      <c r="F2" s="7"/>
      <c r="G2" s="7"/>
      <c r="H2" s="673"/>
      <c r="I2" s="7"/>
      <c r="J2" s="7"/>
      <c r="K2" s="673"/>
      <c r="L2" s="7"/>
      <c r="M2" s="7"/>
      <c r="N2" s="673"/>
      <c r="O2" s="7"/>
      <c r="P2" s="7"/>
    </row>
    <row r="3" spans="2:16" ht="15.75">
      <c r="B3" s="1243" t="s">
        <v>1178</v>
      </c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236"/>
      <c r="P3" s="236"/>
    </row>
    <row r="4" spans="1:16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12" t="s">
        <v>551</v>
      </c>
      <c r="P4" s="35"/>
    </row>
    <row r="5" spans="1:15" ht="15">
      <c r="A5" s="724"/>
      <c r="B5" s="725"/>
      <c r="C5" s="92"/>
      <c r="D5" s="726"/>
      <c r="E5" s="724"/>
      <c r="F5" s="727"/>
      <c r="G5" s="727"/>
      <c r="H5" s="724"/>
      <c r="I5" s="727"/>
      <c r="J5" s="727"/>
      <c r="K5" s="724"/>
      <c r="L5" s="727"/>
      <c r="M5" s="727"/>
      <c r="N5" s="724"/>
      <c r="O5" s="727"/>
    </row>
    <row r="6" spans="1:16" ht="15">
      <c r="A6" s="1231" t="s">
        <v>1335</v>
      </c>
      <c r="B6" s="1176" t="s">
        <v>449</v>
      </c>
      <c r="C6" s="1177" t="s">
        <v>53</v>
      </c>
      <c r="D6" s="1268" t="s">
        <v>450</v>
      </c>
      <c r="E6" s="1269" t="s">
        <v>1300</v>
      </c>
      <c r="F6" s="1269"/>
      <c r="G6" s="1269"/>
      <c r="H6" s="1269" t="s">
        <v>1301</v>
      </c>
      <c r="I6" s="1269"/>
      <c r="J6" s="1269"/>
      <c r="K6" s="1269" t="s">
        <v>1302</v>
      </c>
      <c r="L6" s="1269"/>
      <c r="M6" s="1269"/>
      <c r="N6" s="1269" t="s">
        <v>1303</v>
      </c>
      <c r="O6" s="1269"/>
      <c r="P6" s="1269"/>
    </row>
    <row r="7" spans="1:16" ht="15">
      <c r="A7" s="1232"/>
      <c r="B7" s="1176"/>
      <c r="C7" s="1267"/>
      <c r="D7" s="1268"/>
      <c r="E7" s="59" t="s">
        <v>1315</v>
      </c>
      <c r="F7" s="59" t="s">
        <v>799</v>
      </c>
      <c r="G7" s="59" t="s">
        <v>800</v>
      </c>
      <c r="H7" s="59" t="s">
        <v>1315</v>
      </c>
      <c r="I7" s="59" t="s">
        <v>799</v>
      </c>
      <c r="J7" s="59" t="s">
        <v>800</v>
      </c>
      <c r="K7" s="59" t="s">
        <v>1315</v>
      </c>
      <c r="L7" s="59" t="s">
        <v>799</v>
      </c>
      <c r="M7" s="59" t="s">
        <v>800</v>
      </c>
      <c r="N7" s="59" t="s">
        <v>1315</v>
      </c>
      <c r="O7" s="59" t="s">
        <v>799</v>
      </c>
      <c r="P7" s="59" t="s">
        <v>800</v>
      </c>
    </row>
    <row r="8" spans="1:16" ht="15">
      <c r="A8" s="728" t="s">
        <v>1548</v>
      </c>
      <c r="B8" s="729" t="s">
        <v>1549</v>
      </c>
      <c r="C8" s="728" t="s">
        <v>1550</v>
      </c>
      <c r="D8" s="729" t="s">
        <v>1179</v>
      </c>
      <c r="E8" s="728" t="s">
        <v>1180</v>
      </c>
      <c r="F8" s="729" t="s">
        <v>1551</v>
      </c>
      <c r="G8" s="728">
        <v>7</v>
      </c>
      <c r="H8" s="729">
        <v>8</v>
      </c>
      <c r="I8" s="728" t="s">
        <v>1181</v>
      </c>
      <c r="J8" s="729" t="s">
        <v>1182</v>
      </c>
      <c r="K8" s="728" t="s">
        <v>1183</v>
      </c>
      <c r="L8" s="729" t="s">
        <v>1184</v>
      </c>
      <c r="M8" s="728" t="s">
        <v>1185</v>
      </c>
      <c r="N8" s="729" t="s">
        <v>1186</v>
      </c>
      <c r="O8" s="728" t="s">
        <v>1187</v>
      </c>
      <c r="P8" s="729" t="s">
        <v>1364</v>
      </c>
    </row>
    <row r="9" spans="1:16" ht="14.25">
      <c r="A9" s="1167">
        <v>1</v>
      </c>
      <c r="B9" s="134" t="s">
        <v>1304</v>
      </c>
      <c r="C9" s="730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2"/>
    </row>
    <row r="10" spans="1:17" ht="14.25" customHeight="1">
      <c r="A10" s="1168"/>
      <c r="B10" s="134" t="s">
        <v>186</v>
      </c>
      <c r="C10" s="733">
        <v>7132210008</v>
      </c>
      <c r="D10" s="136" t="s">
        <v>1553</v>
      </c>
      <c r="E10" s="136">
        <v>1</v>
      </c>
      <c r="F10" s="138">
        <f>VLOOKUP(C10,'SOR RATE'!A:D,4,0)</f>
        <v>54268</v>
      </c>
      <c r="G10" s="138">
        <f>F10*E10</f>
        <v>54268</v>
      </c>
      <c r="H10" s="136"/>
      <c r="I10" s="138"/>
      <c r="J10" s="138"/>
      <c r="K10" s="136"/>
      <c r="L10" s="138"/>
      <c r="M10" s="138"/>
      <c r="N10" s="136"/>
      <c r="O10" s="138"/>
      <c r="P10" s="138"/>
      <c r="Q10" s="7"/>
    </row>
    <row r="11" spans="1:20" ht="15">
      <c r="A11" s="1168"/>
      <c r="B11" s="134" t="s">
        <v>1073</v>
      </c>
      <c r="C11" s="733">
        <v>7132210009</v>
      </c>
      <c r="D11" s="136" t="s">
        <v>1553</v>
      </c>
      <c r="E11" s="136"/>
      <c r="F11" s="138"/>
      <c r="G11" s="138"/>
      <c r="H11" s="136">
        <v>1</v>
      </c>
      <c r="I11" s="138">
        <f>VLOOKUP(C11,'SOR RATE'!A:D,4,0)</f>
        <v>88254</v>
      </c>
      <c r="J11" s="138">
        <f>I11*H11</f>
        <v>88254</v>
      </c>
      <c r="K11" s="136"/>
      <c r="L11" s="138"/>
      <c r="M11" s="138"/>
      <c r="N11" s="136"/>
      <c r="O11" s="138"/>
      <c r="P11" s="138"/>
      <c r="Q11" s="101"/>
      <c r="R11" s="99" t="s">
        <v>1276</v>
      </c>
      <c r="S11" s="97"/>
      <c r="T11" s="97"/>
    </row>
    <row r="12" spans="1:17" ht="15">
      <c r="A12" s="1168"/>
      <c r="B12" s="134" t="s">
        <v>1306</v>
      </c>
      <c r="C12" s="734">
        <v>7132210010</v>
      </c>
      <c r="D12" s="136" t="s">
        <v>1553</v>
      </c>
      <c r="E12" s="136"/>
      <c r="F12" s="138"/>
      <c r="G12" s="138"/>
      <c r="H12" s="136"/>
      <c r="I12" s="138"/>
      <c r="J12" s="138"/>
      <c r="K12" s="136">
        <v>1</v>
      </c>
      <c r="L12" s="138">
        <f>VLOOKUP(C12,'SOR RATE'!A:D,4,0)</f>
        <v>119054</v>
      </c>
      <c r="M12" s="138">
        <f>L12*K12</f>
        <v>119054</v>
      </c>
      <c r="N12" s="136"/>
      <c r="O12" s="138"/>
      <c r="P12" s="138"/>
      <c r="Q12" s="7"/>
    </row>
    <row r="13" spans="1:17" ht="15">
      <c r="A13" s="1169"/>
      <c r="B13" s="134" t="s">
        <v>896</v>
      </c>
      <c r="C13" s="734">
        <v>7132210011</v>
      </c>
      <c r="D13" s="136" t="s">
        <v>1553</v>
      </c>
      <c r="E13" s="136"/>
      <c r="F13" s="138"/>
      <c r="G13" s="138"/>
      <c r="H13" s="136"/>
      <c r="I13" s="138"/>
      <c r="J13" s="138"/>
      <c r="K13" s="136"/>
      <c r="L13" s="138"/>
      <c r="M13" s="138"/>
      <c r="N13" s="136">
        <v>1</v>
      </c>
      <c r="O13" s="138">
        <f>VLOOKUP(C13,'SOR RATE'!A:D,4,0)</f>
        <v>220748</v>
      </c>
      <c r="P13" s="138">
        <f aca="true" t="shared" si="0" ref="P13:P24">O13*N13</f>
        <v>220748</v>
      </c>
      <c r="Q13" s="7"/>
    </row>
    <row r="14" spans="1:18" ht="31.5" customHeight="1">
      <c r="A14" s="136">
        <v>2</v>
      </c>
      <c r="B14" s="134" t="s">
        <v>187</v>
      </c>
      <c r="C14" s="135">
        <v>7130601965</v>
      </c>
      <c r="D14" s="135" t="s">
        <v>458</v>
      </c>
      <c r="E14" s="136">
        <v>816.2</v>
      </c>
      <c r="F14" s="138">
        <f>VLOOKUP(C14,'SOR RATE'!A:D,4,0)/1000</f>
        <v>44.989</v>
      </c>
      <c r="G14" s="138">
        <f>F14*E14</f>
        <v>36720.0218</v>
      </c>
      <c r="H14" s="136">
        <f>+E14</f>
        <v>816.2</v>
      </c>
      <c r="I14" s="138">
        <f>+F14</f>
        <v>44.989</v>
      </c>
      <c r="J14" s="138">
        <f>I14*H14</f>
        <v>36720.0218</v>
      </c>
      <c r="K14" s="244">
        <f>+H14</f>
        <v>816.2</v>
      </c>
      <c r="L14" s="257">
        <f>+I14</f>
        <v>44.989</v>
      </c>
      <c r="M14" s="138">
        <f>L14*K14</f>
        <v>36720.0218</v>
      </c>
      <c r="N14" s="244">
        <f>+K14</f>
        <v>816.2</v>
      </c>
      <c r="O14" s="257">
        <f>+L14</f>
        <v>44.989</v>
      </c>
      <c r="P14" s="138">
        <f t="shared" si="0"/>
        <v>36720.0218</v>
      </c>
      <c r="Q14" s="1116"/>
      <c r="R14" s="507"/>
    </row>
    <row r="15" spans="1:16" ht="15.75" customHeight="1">
      <c r="A15" s="136">
        <v>3</v>
      </c>
      <c r="B15" s="134" t="s">
        <v>10</v>
      </c>
      <c r="C15" s="733">
        <v>7130810517</v>
      </c>
      <c r="D15" s="136" t="s">
        <v>452</v>
      </c>
      <c r="E15" s="136">
        <v>1</v>
      </c>
      <c r="F15" s="138">
        <f>VLOOKUP(C15,'SOR RATE'!A:D,4,0)</f>
        <v>4547</v>
      </c>
      <c r="G15" s="138">
        <f aca="true" t="shared" si="1" ref="G15:G24">F15*E15</f>
        <v>4547</v>
      </c>
      <c r="H15" s="136">
        <v>1</v>
      </c>
      <c r="I15" s="138">
        <f aca="true" t="shared" si="2" ref="I15:I28">+F15</f>
        <v>4547</v>
      </c>
      <c r="J15" s="138">
        <f aca="true" t="shared" si="3" ref="J15:J24">I15*H15</f>
        <v>4547</v>
      </c>
      <c r="K15" s="136">
        <v>1</v>
      </c>
      <c r="L15" s="138">
        <f aca="true" t="shared" si="4" ref="L15:L28">+F15</f>
        <v>4547</v>
      </c>
      <c r="M15" s="138">
        <f aca="true" t="shared" si="5" ref="M15:M24">L15*K15</f>
        <v>4547</v>
      </c>
      <c r="N15" s="136">
        <v>1</v>
      </c>
      <c r="O15" s="138">
        <f aca="true" t="shared" si="6" ref="O15:O27">+F15</f>
        <v>4547</v>
      </c>
      <c r="P15" s="138">
        <f t="shared" si="0"/>
        <v>4547</v>
      </c>
    </row>
    <row r="16" spans="1:18" ht="14.25">
      <c r="A16" s="1167">
        <v>4</v>
      </c>
      <c r="B16" s="134" t="s">
        <v>1030</v>
      </c>
      <c r="C16" s="733">
        <v>7130820010</v>
      </c>
      <c r="D16" s="136" t="s">
        <v>452</v>
      </c>
      <c r="E16" s="136">
        <v>3</v>
      </c>
      <c r="F16" s="138">
        <f>VLOOKUP(C16,'SOR RATE'!A:D,4,0)</f>
        <v>140</v>
      </c>
      <c r="G16" s="138">
        <f t="shared" si="1"/>
        <v>420</v>
      </c>
      <c r="H16" s="136">
        <v>3</v>
      </c>
      <c r="I16" s="138">
        <f t="shared" si="2"/>
        <v>140</v>
      </c>
      <c r="J16" s="138">
        <f t="shared" si="3"/>
        <v>420</v>
      </c>
      <c r="K16" s="136">
        <v>3</v>
      </c>
      <c r="L16" s="138">
        <f t="shared" si="4"/>
        <v>140</v>
      </c>
      <c r="M16" s="138">
        <f t="shared" si="5"/>
        <v>420</v>
      </c>
      <c r="N16" s="136">
        <v>3</v>
      </c>
      <c r="O16" s="138">
        <f t="shared" si="6"/>
        <v>140</v>
      </c>
      <c r="P16" s="138">
        <f t="shared" si="0"/>
        <v>420</v>
      </c>
      <c r="R16" s="56" t="s">
        <v>1031</v>
      </c>
    </row>
    <row r="17" spans="1:16" ht="14.25">
      <c r="A17" s="1169"/>
      <c r="B17" s="134" t="s">
        <v>899</v>
      </c>
      <c r="C17" s="733">
        <v>7130820241</v>
      </c>
      <c r="D17" s="136" t="s">
        <v>803</v>
      </c>
      <c r="E17" s="136">
        <v>3</v>
      </c>
      <c r="F17" s="138">
        <f>VLOOKUP(C17,'SOR RATE'!A:D,4,0)</f>
        <v>123</v>
      </c>
      <c r="G17" s="138">
        <f t="shared" si="1"/>
        <v>369</v>
      </c>
      <c r="H17" s="136">
        <v>3</v>
      </c>
      <c r="I17" s="138">
        <f t="shared" si="2"/>
        <v>123</v>
      </c>
      <c r="J17" s="138">
        <f t="shared" si="3"/>
        <v>369</v>
      </c>
      <c r="K17" s="136">
        <v>3</v>
      </c>
      <c r="L17" s="138">
        <f t="shared" si="4"/>
        <v>123</v>
      </c>
      <c r="M17" s="138">
        <f t="shared" si="5"/>
        <v>369</v>
      </c>
      <c r="N17" s="136">
        <v>3</v>
      </c>
      <c r="O17" s="138">
        <f t="shared" si="6"/>
        <v>123</v>
      </c>
      <c r="P17" s="138">
        <f t="shared" si="0"/>
        <v>369</v>
      </c>
    </row>
    <row r="18" spans="1:18" ht="14.25">
      <c r="A18" s="136">
        <v>5</v>
      </c>
      <c r="B18" s="313" t="s">
        <v>1545</v>
      </c>
      <c r="C18" s="259">
        <v>7130820008</v>
      </c>
      <c r="D18" s="260" t="s">
        <v>452</v>
      </c>
      <c r="E18" s="136">
        <v>6</v>
      </c>
      <c r="F18" s="138">
        <f>VLOOKUP(C18,'SOR RATE'!A:D,4,0)</f>
        <v>157</v>
      </c>
      <c r="G18" s="138">
        <f>F18*E18</f>
        <v>942</v>
      </c>
      <c r="H18" s="136">
        <v>6</v>
      </c>
      <c r="I18" s="138">
        <f t="shared" si="2"/>
        <v>157</v>
      </c>
      <c r="J18" s="138">
        <f>I18*H18</f>
        <v>942</v>
      </c>
      <c r="K18" s="136">
        <v>6</v>
      </c>
      <c r="L18" s="138">
        <f t="shared" si="4"/>
        <v>157</v>
      </c>
      <c r="M18" s="138">
        <f>L18*K18</f>
        <v>942</v>
      </c>
      <c r="N18" s="136">
        <v>6</v>
      </c>
      <c r="O18" s="138">
        <f t="shared" si="6"/>
        <v>157</v>
      </c>
      <c r="P18" s="138">
        <f>O18*N18</f>
        <v>942</v>
      </c>
      <c r="Q18" s="104"/>
      <c r="R18" s="56" t="s">
        <v>383</v>
      </c>
    </row>
    <row r="19" spans="1:16" ht="29.25" customHeight="1">
      <c r="A19" s="339">
        <v>6</v>
      </c>
      <c r="B19" s="232" t="s">
        <v>12</v>
      </c>
      <c r="C19" s="736">
        <v>7130810509</v>
      </c>
      <c r="D19" s="239" t="s">
        <v>452</v>
      </c>
      <c r="E19" s="239">
        <v>1</v>
      </c>
      <c r="F19" s="138">
        <f>VLOOKUP(C19,'SOR RATE'!A205:D205,4,0)</f>
        <v>3322</v>
      </c>
      <c r="G19" s="138">
        <f t="shared" si="1"/>
        <v>3322</v>
      </c>
      <c r="H19" s="239">
        <v>1</v>
      </c>
      <c r="I19" s="138">
        <f t="shared" si="2"/>
        <v>3322</v>
      </c>
      <c r="J19" s="138">
        <f t="shared" si="3"/>
        <v>3322</v>
      </c>
      <c r="K19" s="239">
        <v>1</v>
      </c>
      <c r="L19" s="138">
        <f t="shared" si="4"/>
        <v>3322</v>
      </c>
      <c r="M19" s="138">
        <f t="shared" si="5"/>
        <v>3322</v>
      </c>
      <c r="N19" s="239">
        <v>1</v>
      </c>
      <c r="O19" s="138">
        <f t="shared" si="6"/>
        <v>3322</v>
      </c>
      <c r="P19" s="138">
        <f t="shared" si="0"/>
        <v>3322</v>
      </c>
    </row>
    <row r="20" spans="1:16" ht="14.25">
      <c r="A20" s="136">
        <v>7</v>
      </c>
      <c r="B20" s="134" t="s">
        <v>188</v>
      </c>
      <c r="C20" s="733">
        <v>7131930412</v>
      </c>
      <c r="D20" s="136" t="s">
        <v>1553</v>
      </c>
      <c r="E20" s="136">
        <v>3</v>
      </c>
      <c r="F20" s="138">
        <f>VLOOKUP(C20,'SOR RATE'!A:D,4,0)</f>
        <v>1199</v>
      </c>
      <c r="G20" s="138">
        <f t="shared" si="1"/>
        <v>3597</v>
      </c>
      <c r="H20" s="136">
        <v>3</v>
      </c>
      <c r="I20" s="138">
        <f t="shared" si="2"/>
        <v>1199</v>
      </c>
      <c r="J20" s="138">
        <f t="shared" si="3"/>
        <v>3597</v>
      </c>
      <c r="K20" s="136">
        <v>3</v>
      </c>
      <c r="L20" s="138">
        <f t="shared" si="4"/>
        <v>1199</v>
      </c>
      <c r="M20" s="138">
        <f t="shared" si="5"/>
        <v>3597</v>
      </c>
      <c r="N20" s="136">
        <v>3</v>
      </c>
      <c r="O20" s="138">
        <f t="shared" si="6"/>
        <v>1199</v>
      </c>
      <c r="P20" s="138">
        <f t="shared" si="0"/>
        <v>3597</v>
      </c>
    </row>
    <row r="21" spans="1:16" ht="31.5" customHeight="1">
      <c r="A21" s="136">
        <v>8</v>
      </c>
      <c r="B21" s="134" t="s">
        <v>901</v>
      </c>
      <c r="C21" s="135">
        <v>7130600023</v>
      </c>
      <c r="D21" s="135" t="s">
        <v>458</v>
      </c>
      <c r="E21" s="136">
        <v>20</v>
      </c>
      <c r="F21" s="138">
        <f>VLOOKUP(C21,'SOR RATE'!A:D,4,0)/1000</f>
        <v>40.214</v>
      </c>
      <c r="G21" s="138">
        <f t="shared" si="1"/>
        <v>804.28</v>
      </c>
      <c r="H21" s="136">
        <v>20</v>
      </c>
      <c r="I21" s="138">
        <f>+F21</f>
        <v>40.214</v>
      </c>
      <c r="J21" s="138">
        <f t="shared" si="3"/>
        <v>804.28</v>
      </c>
      <c r="K21" s="136">
        <v>20</v>
      </c>
      <c r="L21" s="138">
        <f>+F21</f>
        <v>40.214</v>
      </c>
      <c r="M21" s="138">
        <f t="shared" si="5"/>
        <v>804.28</v>
      </c>
      <c r="N21" s="136">
        <v>20</v>
      </c>
      <c r="O21" s="138">
        <f>+F21</f>
        <v>40.214</v>
      </c>
      <c r="P21" s="138">
        <f t="shared" si="0"/>
        <v>804.28</v>
      </c>
    </row>
    <row r="22" spans="1:16" ht="14.25">
      <c r="A22" s="1167">
        <v>9</v>
      </c>
      <c r="B22" s="134" t="s">
        <v>14</v>
      </c>
      <c r="C22" s="733">
        <v>7130860032</v>
      </c>
      <c r="D22" s="136" t="s">
        <v>452</v>
      </c>
      <c r="E22" s="136">
        <v>4</v>
      </c>
      <c r="F22" s="138">
        <f>VLOOKUP(C22,'SOR RATE'!A:D,4,0)</f>
        <v>387</v>
      </c>
      <c r="G22" s="138">
        <f t="shared" si="1"/>
        <v>1548</v>
      </c>
      <c r="H22" s="136">
        <v>4</v>
      </c>
      <c r="I22" s="138">
        <f t="shared" si="2"/>
        <v>387</v>
      </c>
      <c r="J22" s="138">
        <f t="shared" si="3"/>
        <v>1548</v>
      </c>
      <c r="K22" s="136">
        <v>4</v>
      </c>
      <c r="L22" s="138">
        <f t="shared" si="4"/>
        <v>387</v>
      </c>
      <c r="M22" s="138">
        <f t="shared" si="5"/>
        <v>1548</v>
      </c>
      <c r="N22" s="136">
        <v>4</v>
      </c>
      <c r="O22" s="138">
        <f t="shared" si="6"/>
        <v>387</v>
      </c>
      <c r="P22" s="138">
        <f t="shared" si="0"/>
        <v>1548</v>
      </c>
    </row>
    <row r="23" spans="1:16" ht="14.25">
      <c r="A23" s="1168"/>
      <c r="B23" s="134" t="s">
        <v>1373</v>
      </c>
      <c r="C23" s="733">
        <v>7130860077</v>
      </c>
      <c r="D23" s="136" t="s">
        <v>458</v>
      </c>
      <c r="E23" s="136">
        <v>22</v>
      </c>
      <c r="F23" s="138">
        <f>VLOOKUP(C23,'SOR RATE'!A:D,4,0)/1000</f>
        <v>61.6</v>
      </c>
      <c r="G23" s="138">
        <f t="shared" si="1"/>
        <v>1355.2</v>
      </c>
      <c r="H23" s="136">
        <v>22</v>
      </c>
      <c r="I23" s="138">
        <f t="shared" si="2"/>
        <v>61.6</v>
      </c>
      <c r="J23" s="138">
        <f t="shared" si="3"/>
        <v>1355.2</v>
      </c>
      <c r="K23" s="136">
        <v>22</v>
      </c>
      <c r="L23" s="138">
        <f t="shared" si="4"/>
        <v>61.6</v>
      </c>
      <c r="M23" s="138">
        <f t="shared" si="5"/>
        <v>1355.2</v>
      </c>
      <c r="N23" s="136">
        <v>22</v>
      </c>
      <c r="O23" s="138">
        <f t="shared" si="6"/>
        <v>61.6</v>
      </c>
      <c r="P23" s="138">
        <f t="shared" si="0"/>
        <v>1355.2</v>
      </c>
    </row>
    <row r="24" spans="1:16" ht="14.25">
      <c r="A24" s="1168"/>
      <c r="B24" s="425" t="s">
        <v>277</v>
      </c>
      <c r="C24" s="140">
        <v>7130810692</v>
      </c>
      <c r="D24" s="136" t="s">
        <v>452</v>
      </c>
      <c r="E24" s="136">
        <v>4</v>
      </c>
      <c r="F24" s="138">
        <f>VLOOKUP(C24,'SOR RATE'!A:D,4,0)</f>
        <v>294</v>
      </c>
      <c r="G24" s="138">
        <f t="shared" si="1"/>
        <v>1176</v>
      </c>
      <c r="H24" s="136">
        <v>4</v>
      </c>
      <c r="I24" s="138">
        <f t="shared" si="2"/>
        <v>294</v>
      </c>
      <c r="J24" s="138">
        <f t="shared" si="3"/>
        <v>1176</v>
      </c>
      <c r="K24" s="136">
        <v>4</v>
      </c>
      <c r="L24" s="138">
        <f t="shared" si="4"/>
        <v>294</v>
      </c>
      <c r="M24" s="138">
        <f t="shared" si="5"/>
        <v>1176</v>
      </c>
      <c r="N24" s="136">
        <v>4</v>
      </c>
      <c r="O24" s="138">
        <f>+I24</f>
        <v>294</v>
      </c>
      <c r="P24" s="138">
        <f t="shared" si="0"/>
        <v>1176</v>
      </c>
    </row>
    <row r="25" spans="1:16" ht="45.75" customHeight="1">
      <c r="A25" s="1167">
        <v>10</v>
      </c>
      <c r="B25" s="134" t="s">
        <v>189</v>
      </c>
      <c r="C25" s="733"/>
      <c r="D25" s="136" t="s">
        <v>454</v>
      </c>
      <c r="E25" s="136">
        <v>2.1</v>
      </c>
      <c r="F25" s="138"/>
      <c r="G25" s="138"/>
      <c r="H25" s="737">
        <f>+E25</f>
        <v>2.1</v>
      </c>
      <c r="I25" s="138"/>
      <c r="J25" s="138"/>
      <c r="K25" s="737">
        <f>+H25</f>
        <v>2.1</v>
      </c>
      <c r="L25" s="138"/>
      <c r="M25" s="138"/>
      <c r="N25" s="737">
        <f>+K25</f>
        <v>2.1</v>
      </c>
      <c r="O25" s="138"/>
      <c r="P25" s="138"/>
    </row>
    <row r="26" spans="1:16" ht="16.5" customHeight="1">
      <c r="A26" s="1169"/>
      <c r="B26" s="134" t="s">
        <v>307</v>
      </c>
      <c r="C26" s="733">
        <v>7130200401</v>
      </c>
      <c r="D26" s="738" t="s">
        <v>458</v>
      </c>
      <c r="E26" s="136">
        <v>437</v>
      </c>
      <c r="F26" s="138">
        <f>VLOOKUP(C26,'SOR RATE'!A:D,4,0)/50</f>
        <v>5.36</v>
      </c>
      <c r="G26" s="138">
        <f>F26*E26</f>
        <v>2342.32</v>
      </c>
      <c r="H26" s="136">
        <f>+E26</f>
        <v>437</v>
      </c>
      <c r="I26" s="138">
        <f t="shared" si="2"/>
        <v>5.36</v>
      </c>
      <c r="J26" s="138">
        <f>I26*H26</f>
        <v>2342.32</v>
      </c>
      <c r="K26" s="136">
        <f>+E26</f>
        <v>437</v>
      </c>
      <c r="L26" s="138">
        <f t="shared" si="4"/>
        <v>5.36</v>
      </c>
      <c r="M26" s="138">
        <f>L26*K26</f>
        <v>2342.32</v>
      </c>
      <c r="N26" s="136">
        <f>+E26</f>
        <v>437</v>
      </c>
      <c r="O26" s="138">
        <f t="shared" si="6"/>
        <v>5.36</v>
      </c>
      <c r="P26" s="138">
        <f>O26*N26</f>
        <v>2342.32</v>
      </c>
    </row>
    <row r="27" spans="1:16" ht="29.25" customHeight="1">
      <c r="A27" s="136">
        <v>11</v>
      </c>
      <c r="B27" s="139" t="s">
        <v>1376</v>
      </c>
      <c r="C27" s="733">
        <v>7130600023</v>
      </c>
      <c r="D27" s="136" t="s">
        <v>458</v>
      </c>
      <c r="E27" s="136">
        <v>34</v>
      </c>
      <c r="F27" s="138">
        <f>VLOOKUP(C27,'SOR RATE'!A:D,4,0)/1000</f>
        <v>40.214</v>
      </c>
      <c r="G27" s="138">
        <f>F27*E27</f>
        <v>1367.2759999999998</v>
      </c>
      <c r="H27" s="136">
        <v>34</v>
      </c>
      <c r="I27" s="138">
        <f t="shared" si="2"/>
        <v>40.214</v>
      </c>
      <c r="J27" s="138">
        <f>I27*H27</f>
        <v>1367.2759999999998</v>
      </c>
      <c r="K27" s="136">
        <v>34</v>
      </c>
      <c r="L27" s="138">
        <f t="shared" si="4"/>
        <v>40.214</v>
      </c>
      <c r="M27" s="138">
        <f>L27*K27</f>
        <v>1367.2759999999998</v>
      </c>
      <c r="N27" s="136">
        <v>34</v>
      </c>
      <c r="O27" s="138">
        <f t="shared" si="6"/>
        <v>40.214</v>
      </c>
      <c r="P27" s="138">
        <f>O27*N27</f>
        <v>1367.2759999999998</v>
      </c>
    </row>
    <row r="28" spans="1:16" ht="29.25" customHeight="1">
      <c r="A28" s="136">
        <v>12</v>
      </c>
      <c r="B28" s="134" t="s">
        <v>1377</v>
      </c>
      <c r="C28" s="733">
        <v>7130850201</v>
      </c>
      <c r="D28" s="136" t="s">
        <v>802</v>
      </c>
      <c r="E28" s="136">
        <v>1</v>
      </c>
      <c r="F28" s="138">
        <f>VLOOKUP(C28,'SOR RATE'!A:D,4,0)</f>
        <v>4547</v>
      </c>
      <c r="G28" s="138">
        <f>F28*E28</f>
        <v>4547</v>
      </c>
      <c r="H28" s="136">
        <v>1</v>
      </c>
      <c r="I28" s="138">
        <f t="shared" si="2"/>
        <v>4547</v>
      </c>
      <c r="J28" s="138">
        <f>I28*H28</f>
        <v>4547</v>
      </c>
      <c r="K28" s="136">
        <v>1</v>
      </c>
      <c r="L28" s="138">
        <f t="shared" si="4"/>
        <v>4547</v>
      </c>
      <c r="M28" s="138">
        <f>L28*K28</f>
        <v>4547</v>
      </c>
      <c r="N28" s="136">
        <v>1</v>
      </c>
      <c r="O28" s="138">
        <f>+F28</f>
        <v>4547</v>
      </c>
      <c r="P28" s="138">
        <f>O28*N28</f>
        <v>4547</v>
      </c>
    </row>
    <row r="29" spans="1:16" ht="18" customHeight="1">
      <c r="A29" s="136">
        <v>13</v>
      </c>
      <c r="B29" s="134" t="s">
        <v>1342</v>
      </c>
      <c r="C29" s="733">
        <v>7130880041</v>
      </c>
      <c r="D29" s="136" t="s">
        <v>1553</v>
      </c>
      <c r="E29" s="136">
        <v>1</v>
      </c>
      <c r="F29" s="138">
        <f>VLOOKUP(C29,'SOR RATE'!A:D,4,0)</f>
        <v>74</v>
      </c>
      <c r="G29" s="138">
        <f>F29*E29</f>
        <v>74</v>
      </c>
      <c r="H29" s="136">
        <v>1</v>
      </c>
      <c r="I29" s="138">
        <f>+F29</f>
        <v>74</v>
      </c>
      <c r="J29" s="138">
        <f>I29*H29</f>
        <v>74</v>
      </c>
      <c r="K29" s="136">
        <v>1</v>
      </c>
      <c r="L29" s="138">
        <f>+F29</f>
        <v>74</v>
      </c>
      <c r="M29" s="138">
        <f>L29*K29</f>
        <v>74</v>
      </c>
      <c r="N29" s="136">
        <v>1</v>
      </c>
      <c r="O29" s="138">
        <f>+F29</f>
        <v>74</v>
      </c>
      <c r="P29" s="138">
        <f>O29*N29</f>
        <v>74</v>
      </c>
    </row>
    <row r="30" spans="1:16" ht="30.75" customHeight="1">
      <c r="A30" s="1167">
        <v>14</v>
      </c>
      <c r="B30" s="134" t="s">
        <v>190</v>
      </c>
      <c r="C30" s="246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8"/>
    </row>
    <row r="31" spans="1:16" ht="15.75" customHeight="1">
      <c r="A31" s="1168"/>
      <c r="B31" s="134" t="s">
        <v>1379</v>
      </c>
      <c r="C31" s="733">
        <v>7130641396</v>
      </c>
      <c r="D31" s="136" t="s">
        <v>1368</v>
      </c>
      <c r="E31" s="136">
        <v>9</v>
      </c>
      <c r="F31" s="138">
        <f>VLOOKUP(C31,'SOR RATE'!A:D,4,0)</f>
        <v>190</v>
      </c>
      <c r="G31" s="138">
        <f aca="true" t="shared" si="7" ref="G31:G36">F31*E31</f>
        <v>1710</v>
      </c>
      <c r="H31" s="136">
        <v>9</v>
      </c>
      <c r="I31" s="138">
        <f aca="true" t="shared" si="8" ref="I31:I41">+F31</f>
        <v>190</v>
      </c>
      <c r="J31" s="138">
        <f aca="true" t="shared" si="9" ref="J31:J36">I31*H31</f>
        <v>1710</v>
      </c>
      <c r="K31" s="136">
        <v>9</v>
      </c>
      <c r="L31" s="138">
        <f aca="true" t="shared" si="10" ref="L31:L41">+F31</f>
        <v>190</v>
      </c>
      <c r="M31" s="138">
        <f aca="true" t="shared" si="11" ref="M31:M36">L31*K31</f>
        <v>1710</v>
      </c>
      <c r="N31" s="136">
        <v>9</v>
      </c>
      <c r="O31" s="138">
        <f aca="true" t="shared" si="12" ref="O31:O41">+F31</f>
        <v>190</v>
      </c>
      <c r="P31" s="138">
        <f aca="true" t="shared" si="13" ref="P31:P36">O31*N31</f>
        <v>1710</v>
      </c>
    </row>
    <row r="32" spans="1:16" ht="15.75" customHeight="1">
      <c r="A32" s="1169"/>
      <c r="B32" s="134" t="s">
        <v>1380</v>
      </c>
      <c r="C32" s="733">
        <v>7130870043</v>
      </c>
      <c r="D32" s="136" t="s">
        <v>458</v>
      </c>
      <c r="E32" s="136">
        <v>15</v>
      </c>
      <c r="F32" s="138">
        <f>VLOOKUP(C32,'SOR RATE'!A:D,4,0)/1000</f>
        <v>55.094</v>
      </c>
      <c r="G32" s="138">
        <f t="shared" si="7"/>
        <v>826.41</v>
      </c>
      <c r="H32" s="136">
        <v>15</v>
      </c>
      <c r="I32" s="138">
        <f t="shared" si="8"/>
        <v>55.094</v>
      </c>
      <c r="J32" s="138">
        <f t="shared" si="9"/>
        <v>826.41</v>
      </c>
      <c r="K32" s="136">
        <v>15</v>
      </c>
      <c r="L32" s="138">
        <f t="shared" si="10"/>
        <v>55.094</v>
      </c>
      <c r="M32" s="138">
        <f t="shared" si="11"/>
        <v>826.41</v>
      </c>
      <c r="N32" s="136">
        <v>15</v>
      </c>
      <c r="O32" s="138">
        <f t="shared" si="12"/>
        <v>55.094</v>
      </c>
      <c r="P32" s="138">
        <f t="shared" si="13"/>
        <v>826.41</v>
      </c>
    </row>
    <row r="33" spans="1:19" ht="14.25">
      <c r="A33" s="136">
        <v>15</v>
      </c>
      <c r="B33" s="139" t="s">
        <v>308</v>
      </c>
      <c r="C33" s="140">
        <v>7130610206</v>
      </c>
      <c r="D33" s="136" t="s">
        <v>458</v>
      </c>
      <c r="E33" s="136">
        <v>2</v>
      </c>
      <c r="F33" s="138">
        <f>VLOOKUP(C33,'SOR RATE'!A:D,4,0)/1000</f>
        <v>66.528</v>
      </c>
      <c r="G33" s="138">
        <f t="shared" si="7"/>
        <v>133.056</v>
      </c>
      <c r="H33" s="136">
        <v>2</v>
      </c>
      <c r="I33" s="138">
        <f t="shared" si="8"/>
        <v>66.528</v>
      </c>
      <c r="J33" s="138">
        <f>I33*H33</f>
        <v>133.056</v>
      </c>
      <c r="K33" s="136">
        <v>2</v>
      </c>
      <c r="L33" s="138">
        <f t="shared" si="10"/>
        <v>66.528</v>
      </c>
      <c r="M33" s="138">
        <f t="shared" si="11"/>
        <v>133.056</v>
      </c>
      <c r="N33" s="136">
        <v>2</v>
      </c>
      <c r="O33" s="138">
        <f t="shared" si="12"/>
        <v>66.528</v>
      </c>
      <c r="P33" s="138">
        <f t="shared" si="13"/>
        <v>133.056</v>
      </c>
      <c r="Q33" s="106"/>
      <c r="R33" s="64"/>
      <c r="S33" s="64"/>
    </row>
    <row r="34" spans="1:16" ht="14.25">
      <c r="A34" s="136">
        <v>16</v>
      </c>
      <c r="B34" s="134" t="s">
        <v>455</v>
      </c>
      <c r="C34" s="733">
        <v>7130211158</v>
      </c>
      <c r="D34" s="136" t="s">
        <v>456</v>
      </c>
      <c r="E34" s="136">
        <v>1</v>
      </c>
      <c r="F34" s="138">
        <f>VLOOKUP(C34,'SOR RATE'!A:D,4,0)</f>
        <v>130</v>
      </c>
      <c r="G34" s="138">
        <f t="shared" si="7"/>
        <v>130</v>
      </c>
      <c r="H34" s="136">
        <v>1</v>
      </c>
      <c r="I34" s="138">
        <f t="shared" si="8"/>
        <v>130</v>
      </c>
      <c r="J34" s="138">
        <f t="shared" si="9"/>
        <v>130</v>
      </c>
      <c r="K34" s="136">
        <v>3</v>
      </c>
      <c r="L34" s="138">
        <f t="shared" si="10"/>
        <v>130</v>
      </c>
      <c r="M34" s="138">
        <f t="shared" si="11"/>
        <v>390</v>
      </c>
      <c r="N34" s="136">
        <v>3</v>
      </c>
      <c r="O34" s="138">
        <f t="shared" si="12"/>
        <v>130</v>
      </c>
      <c r="P34" s="138">
        <f t="shared" si="13"/>
        <v>390</v>
      </c>
    </row>
    <row r="35" spans="1:16" ht="14.25">
      <c r="A35" s="136">
        <v>17</v>
      </c>
      <c r="B35" s="134" t="s">
        <v>457</v>
      </c>
      <c r="C35" s="733">
        <v>7130210809</v>
      </c>
      <c r="D35" s="136" t="s">
        <v>456</v>
      </c>
      <c r="E35" s="136">
        <v>1</v>
      </c>
      <c r="F35" s="138">
        <f>VLOOKUP(C35,'SOR RATE'!A:D,4,0)</f>
        <v>290</v>
      </c>
      <c r="G35" s="138">
        <f t="shared" si="7"/>
        <v>290</v>
      </c>
      <c r="H35" s="136">
        <v>1</v>
      </c>
      <c r="I35" s="138">
        <f t="shared" si="8"/>
        <v>290</v>
      </c>
      <c r="J35" s="138">
        <f t="shared" si="9"/>
        <v>290</v>
      </c>
      <c r="K35" s="136">
        <v>3</v>
      </c>
      <c r="L35" s="138">
        <f t="shared" si="10"/>
        <v>290</v>
      </c>
      <c r="M35" s="138">
        <f t="shared" si="11"/>
        <v>870</v>
      </c>
      <c r="N35" s="136">
        <v>3</v>
      </c>
      <c r="O35" s="138">
        <f t="shared" si="12"/>
        <v>290</v>
      </c>
      <c r="P35" s="138">
        <f t="shared" si="13"/>
        <v>870</v>
      </c>
    </row>
    <row r="36" spans="1:18" ht="14.25">
      <c r="A36" s="136">
        <v>18</v>
      </c>
      <c r="B36" s="134" t="s">
        <v>781</v>
      </c>
      <c r="C36" s="733">
        <v>7130840029</v>
      </c>
      <c r="D36" s="136" t="s">
        <v>1553</v>
      </c>
      <c r="E36" s="136">
        <v>3</v>
      </c>
      <c r="F36" s="138">
        <f>VLOOKUP(C36,'SOR RATE'!A:D,4,0)</f>
        <v>425</v>
      </c>
      <c r="G36" s="138">
        <f t="shared" si="7"/>
        <v>1275</v>
      </c>
      <c r="H36" s="136">
        <v>3</v>
      </c>
      <c r="I36" s="138">
        <f t="shared" si="8"/>
        <v>425</v>
      </c>
      <c r="J36" s="138">
        <f t="shared" si="9"/>
        <v>1275</v>
      </c>
      <c r="K36" s="136">
        <v>3</v>
      </c>
      <c r="L36" s="138">
        <f t="shared" si="10"/>
        <v>425</v>
      </c>
      <c r="M36" s="138">
        <f t="shared" si="11"/>
        <v>1275</v>
      </c>
      <c r="N36" s="136">
        <v>3</v>
      </c>
      <c r="O36" s="138">
        <f t="shared" si="12"/>
        <v>425</v>
      </c>
      <c r="P36" s="138">
        <f t="shared" si="13"/>
        <v>1275</v>
      </c>
      <c r="R36" s="56" t="s">
        <v>1277</v>
      </c>
    </row>
    <row r="37" spans="1:16" ht="15">
      <c r="A37" s="1167">
        <v>19</v>
      </c>
      <c r="B37" s="134" t="s">
        <v>1359</v>
      </c>
      <c r="C37" s="733"/>
      <c r="D37" s="136" t="s">
        <v>458</v>
      </c>
      <c r="E37" s="59">
        <v>14</v>
      </c>
      <c r="F37" s="138"/>
      <c r="G37" s="138"/>
      <c r="H37" s="59">
        <v>14</v>
      </c>
      <c r="I37" s="138"/>
      <c r="J37" s="138"/>
      <c r="K37" s="59">
        <v>14</v>
      </c>
      <c r="L37" s="138"/>
      <c r="M37" s="138"/>
      <c r="N37" s="59">
        <v>14</v>
      </c>
      <c r="O37" s="138"/>
      <c r="P37" s="138"/>
    </row>
    <row r="38" spans="1:16" ht="14.25">
      <c r="A38" s="1168"/>
      <c r="B38" s="425" t="s">
        <v>438</v>
      </c>
      <c r="C38" s="733">
        <v>7130620609</v>
      </c>
      <c r="D38" s="141" t="s">
        <v>1369</v>
      </c>
      <c r="E38" s="136">
        <v>1</v>
      </c>
      <c r="F38" s="138">
        <f>VLOOKUP(C38,'SOR RATE'!A:D,4,0)</f>
        <v>64</v>
      </c>
      <c r="G38" s="138">
        <f>F38*E38</f>
        <v>64</v>
      </c>
      <c r="H38" s="136">
        <v>1</v>
      </c>
      <c r="I38" s="138">
        <f t="shared" si="8"/>
        <v>64</v>
      </c>
      <c r="J38" s="138">
        <f>I38*H38</f>
        <v>64</v>
      </c>
      <c r="K38" s="136">
        <v>1</v>
      </c>
      <c r="L38" s="138">
        <f t="shared" si="10"/>
        <v>64</v>
      </c>
      <c r="M38" s="138">
        <f>L38*K38</f>
        <v>64</v>
      </c>
      <c r="N38" s="136">
        <v>1</v>
      </c>
      <c r="O38" s="138">
        <f t="shared" si="12"/>
        <v>64</v>
      </c>
      <c r="P38" s="138">
        <f>O38*N38</f>
        <v>64</v>
      </c>
    </row>
    <row r="39" spans="1:16" ht="14.25">
      <c r="A39" s="1168"/>
      <c r="B39" s="425" t="s">
        <v>1336</v>
      </c>
      <c r="C39" s="733">
        <v>7130620614</v>
      </c>
      <c r="D39" s="141" t="s">
        <v>1369</v>
      </c>
      <c r="E39" s="136">
        <v>4</v>
      </c>
      <c r="F39" s="138">
        <f>VLOOKUP(C39,'SOR RATE'!A:D,4,0)</f>
        <v>63</v>
      </c>
      <c r="G39" s="138">
        <f>F39*E39</f>
        <v>252</v>
      </c>
      <c r="H39" s="136">
        <v>4</v>
      </c>
      <c r="I39" s="138">
        <f t="shared" si="8"/>
        <v>63</v>
      </c>
      <c r="J39" s="138">
        <f>I39*H39</f>
        <v>252</v>
      </c>
      <c r="K39" s="136">
        <v>4</v>
      </c>
      <c r="L39" s="138">
        <f t="shared" si="10"/>
        <v>63</v>
      </c>
      <c r="M39" s="138">
        <f>L39*K39</f>
        <v>252</v>
      </c>
      <c r="N39" s="136">
        <v>4</v>
      </c>
      <c r="O39" s="138">
        <f t="shared" si="12"/>
        <v>63</v>
      </c>
      <c r="P39" s="138">
        <f>O39*N39</f>
        <v>252</v>
      </c>
    </row>
    <row r="40" spans="1:16" ht="14.25">
      <c r="A40" s="1168"/>
      <c r="B40" s="425" t="s">
        <v>1338</v>
      </c>
      <c r="C40" s="733">
        <v>7130620625</v>
      </c>
      <c r="D40" s="141" t="s">
        <v>1369</v>
      </c>
      <c r="E40" s="136">
        <v>4</v>
      </c>
      <c r="F40" s="138">
        <f>VLOOKUP(C40,'SOR RATE'!A:D,4,0)</f>
        <v>62</v>
      </c>
      <c r="G40" s="138">
        <f>F40*E40</f>
        <v>248</v>
      </c>
      <c r="H40" s="136">
        <v>4</v>
      </c>
      <c r="I40" s="138">
        <f t="shared" si="8"/>
        <v>62</v>
      </c>
      <c r="J40" s="138">
        <f>I40*H40</f>
        <v>248</v>
      </c>
      <c r="K40" s="136">
        <v>4</v>
      </c>
      <c r="L40" s="138">
        <f t="shared" si="10"/>
        <v>62</v>
      </c>
      <c r="M40" s="138">
        <f>L40*K40</f>
        <v>248</v>
      </c>
      <c r="N40" s="136">
        <v>4</v>
      </c>
      <c r="O40" s="138">
        <f t="shared" si="12"/>
        <v>62</v>
      </c>
      <c r="P40" s="138">
        <f>O40*N40</f>
        <v>248</v>
      </c>
    </row>
    <row r="41" spans="1:16" ht="14.25">
      <c r="A41" s="1169"/>
      <c r="B41" s="425" t="s">
        <v>1345</v>
      </c>
      <c r="C41" s="733">
        <v>7130620631</v>
      </c>
      <c r="D41" s="141" t="s">
        <v>1369</v>
      </c>
      <c r="E41" s="136">
        <v>5</v>
      </c>
      <c r="F41" s="138">
        <f>VLOOKUP(C41,'SOR RATE'!A:D,4,0)</f>
        <v>62</v>
      </c>
      <c r="G41" s="138">
        <f>F41*E41</f>
        <v>310</v>
      </c>
      <c r="H41" s="136">
        <v>5</v>
      </c>
      <c r="I41" s="138">
        <f t="shared" si="8"/>
        <v>62</v>
      </c>
      <c r="J41" s="138">
        <f>I41*H41</f>
        <v>310</v>
      </c>
      <c r="K41" s="136">
        <v>5</v>
      </c>
      <c r="L41" s="138">
        <f t="shared" si="10"/>
        <v>62</v>
      </c>
      <c r="M41" s="138">
        <f>L41*K41</f>
        <v>310</v>
      </c>
      <c r="N41" s="136">
        <v>5</v>
      </c>
      <c r="O41" s="138">
        <f t="shared" si="12"/>
        <v>62</v>
      </c>
      <c r="P41" s="138">
        <f>O41*N41</f>
        <v>310</v>
      </c>
    </row>
    <row r="42" spans="1:16" ht="14.25">
      <c r="A42" s="136">
        <v>20</v>
      </c>
      <c r="B42" s="134" t="s">
        <v>1381</v>
      </c>
      <c r="C42" s="733">
        <v>7131920254</v>
      </c>
      <c r="D42" s="136" t="s">
        <v>452</v>
      </c>
      <c r="E42" s="136">
        <v>1</v>
      </c>
      <c r="F42" s="138">
        <f>VLOOKUP(C42,'SOR RATE'!A:D,4,0)</f>
        <v>1634</v>
      </c>
      <c r="G42" s="138">
        <f>F42*E42</f>
        <v>1634</v>
      </c>
      <c r="H42" s="244" t="s">
        <v>453</v>
      </c>
      <c r="I42" s="138"/>
      <c r="J42" s="138"/>
      <c r="K42" s="244" t="s">
        <v>453</v>
      </c>
      <c r="L42" s="138"/>
      <c r="M42" s="138"/>
      <c r="N42" s="244" t="s">
        <v>453</v>
      </c>
      <c r="O42" s="138"/>
      <c r="P42" s="138"/>
    </row>
    <row r="43" spans="1:16" ht="14.25">
      <c r="A43" s="136">
        <v>21</v>
      </c>
      <c r="B43" s="189" t="s">
        <v>1382</v>
      </c>
      <c r="C43" s="246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8"/>
    </row>
    <row r="44" spans="1:22" ht="14.25">
      <c r="A44" s="136" t="s">
        <v>442</v>
      </c>
      <c r="B44" s="258" t="s">
        <v>1383</v>
      </c>
      <c r="C44" s="733">
        <v>7130311084</v>
      </c>
      <c r="D44" s="136" t="s">
        <v>1368</v>
      </c>
      <c r="E44" s="136">
        <v>30</v>
      </c>
      <c r="F44" s="138">
        <f>VLOOKUP(C44,'SOR RATE'!A:D,4,0)/1000</f>
        <v>99.916</v>
      </c>
      <c r="G44" s="138">
        <f>F44*E44</f>
        <v>2997.48</v>
      </c>
      <c r="H44" s="244" t="s">
        <v>453</v>
      </c>
      <c r="I44" s="138"/>
      <c r="J44" s="138"/>
      <c r="K44" s="244"/>
      <c r="L44" s="138"/>
      <c r="M44" s="138"/>
      <c r="N44" s="244" t="s">
        <v>453</v>
      </c>
      <c r="O44" s="138"/>
      <c r="P44" s="138"/>
      <c r="R44" s="739"/>
      <c r="S44" s="739"/>
      <c r="T44" s="739"/>
      <c r="U44" s="739"/>
      <c r="V44" s="739"/>
    </row>
    <row r="45" spans="1:16" ht="14.25">
      <c r="A45" s="136" t="s">
        <v>460</v>
      </c>
      <c r="B45" s="134" t="s">
        <v>1384</v>
      </c>
      <c r="C45" s="733">
        <v>7130311054</v>
      </c>
      <c r="D45" s="136" t="s">
        <v>1368</v>
      </c>
      <c r="E45" s="244" t="s">
        <v>453</v>
      </c>
      <c r="F45" s="138"/>
      <c r="G45" s="138"/>
      <c r="H45" s="136">
        <v>30</v>
      </c>
      <c r="I45" s="138">
        <f>VLOOKUP(C45,'SOR RATE'!A:D,4,0)/1000</f>
        <v>213.718</v>
      </c>
      <c r="J45" s="138">
        <f>I45*H45</f>
        <v>6411.54</v>
      </c>
      <c r="K45" s="136">
        <v>30</v>
      </c>
      <c r="L45" s="138">
        <f>+I45</f>
        <v>213.718</v>
      </c>
      <c r="M45" s="138">
        <f>L45*K45</f>
        <v>6411.54</v>
      </c>
      <c r="N45" s="244" t="s">
        <v>453</v>
      </c>
      <c r="O45" s="138"/>
      <c r="P45" s="138"/>
    </row>
    <row r="46" spans="1:16" ht="14.25">
      <c r="A46" s="136" t="s">
        <v>131</v>
      </c>
      <c r="B46" s="134" t="s">
        <v>1385</v>
      </c>
      <c r="C46" s="733">
        <v>7130311057</v>
      </c>
      <c r="D46" s="136" t="s">
        <v>1368</v>
      </c>
      <c r="E46" s="244" t="s">
        <v>453</v>
      </c>
      <c r="F46" s="138"/>
      <c r="G46" s="138"/>
      <c r="H46" s="244"/>
      <c r="I46" s="138"/>
      <c r="J46" s="138"/>
      <c r="K46" s="136">
        <v>10</v>
      </c>
      <c r="L46" s="138">
        <f>VLOOKUP(C46,'SOR RATE'!A:D,4,0)/1000</f>
        <v>412.459</v>
      </c>
      <c r="M46" s="138">
        <f>L46*K46</f>
        <v>4124.59</v>
      </c>
      <c r="N46" s="136">
        <v>30</v>
      </c>
      <c r="O46" s="138">
        <f>+L46</f>
        <v>412.459</v>
      </c>
      <c r="P46" s="138">
        <f>O46*N46</f>
        <v>12373.77</v>
      </c>
    </row>
    <row r="47" spans="1:16" ht="14.25">
      <c r="A47" s="136" t="s">
        <v>132</v>
      </c>
      <c r="B47" s="134" t="s">
        <v>1386</v>
      </c>
      <c r="C47" s="733">
        <v>7130311061</v>
      </c>
      <c r="D47" s="136" t="s">
        <v>1368</v>
      </c>
      <c r="E47" s="136"/>
      <c r="F47" s="138"/>
      <c r="G47" s="138"/>
      <c r="H47" s="136"/>
      <c r="I47" s="138"/>
      <c r="J47" s="138"/>
      <c r="K47" s="136"/>
      <c r="L47" s="138"/>
      <c r="M47" s="138"/>
      <c r="N47" s="136">
        <v>10</v>
      </c>
      <c r="O47" s="138">
        <f>VLOOKUP(C47,'SOR RATE'!A:D,4,0)/1000</f>
        <v>784.944</v>
      </c>
      <c r="P47" s="138">
        <f>O47*N47</f>
        <v>7849.44</v>
      </c>
    </row>
    <row r="48" spans="1:16" ht="46.5" customHeight="1">
      <c r="A48" s="136">
        <v>22</v>
      </c>
      <c r="B48" s="189" t="s">
        <v>191</v>
      </c>
      <c r="C48" s="246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8"/>
    </row>
    <row r="49" spans="1:16" ht="14.25">
      <c r="A49" s="136" t="s">
        <v>442</v>
      </c>
      <c r="B49" s="134" t="s">
        <v>1388</v>
      </c>
      <c r="C49" s="733">
        <v>7131950065</v>
      </c>
      <c r="D49" s="136" t="s">
        <v>1553</v>
      </c>
      <c r="E49" s="136"/>
      <c r="F49" s="138"/>
      <c r="G49" s="138"/>
      <c r="H49" s="136">
        <v>1</v>
      </c>
      <c r="I49" s="138">
        <f>VLOOKUP(C49,'SOR RATE'!A:D,4,0)</f>
        <v>13758</v>
      </c>
      <c r="J49" s="138">
        <f>I49*H49</f>
        <v>13758</v>
      </c>
      <c r="K49" s="244" t="s">
        <v>453</v>
      </c>
      <c r="L49" s="138"/>
      <c r="M49" s="138"/>
      <c r="N49" s="244"/>
      <c r="O49" s="138"/>
      <c r="P49" s="138"/>
    </row>
    <row r="50" spans="1:16" ht="14.25">
      <c r="A50" s="136" t="s">
        <v>460</v>
      </c>
      <c r="B50" s="134" t="s">
        <v>1389</v>
      </c>
      <c r="C50" s="733">
        <v>7131950105</v>
      </c>
      <c r="D50" s="136" t="s">
        <v>1553</v>
      </c>
      <c r="E50" s="136"/>
      <c r="F50" s="138"/>
      <c r="G50" s="138"/>
      <c r="H50" s="136"/>
      <c r="I50" s="138"/>
      <c r="J50" s="243"/>
      <c r="K50" s="136">
        <v>1</v>
      </c>
      <c r="L50" s="138">
        <f>VLOOKUP(C50,'SOR RATE'!A:D,4,0)</f>
        <v>17198</v>
      </c>
      <c r="M50" s="138">
        <f>L50*K50</f>
        <v>17198</v>
      </c>
      <c r="N50" s="136"/>
      <c r="O50" s="138"/>
      <c r="P50" s="138"/>
    </row>
    <row r="51" spans="1:16" ht="14.25">
      <c r="A51" s="136" t="s">
        <v>131</v>
      </c>
      <c r="B51" s="134" t="s">
        <v>1390</v>
      </c>
      <c r="C51" s="733">
        <v>7131950200</v>
      </c>
      <c r="D51" s="136" t="s">
        <v>1553</v>
      </c>
      <c r="E51" s="136"/>
      <c r="F51" s="138"/>
      <c r="G51" s="138"/>
      <c r="H51" s="136"/>
      <c r="I51" s="138"/>
      <c r="J51" s="740"/>
      <c r="K51" s="136"/>
      <c r="L51" s="138"/>
      <c r="M51" s="138"/>
      <c r="N51" s="136">
        <v>1</v>
      </c>
      <c r="O51" s="138">
        <f>VLOOKUP(C51,'SOR RATE'!A:D,4,0)</f>
        <v>34396</v>
      </c>
      <c r="P51" s="138">
        <f>O51*N51</f>
        <v>34396</v>
      </c>
    </row>
    <row r="52" spans="1:16" ht="15" customHeight="1">
      <c r="A52" s="136">
        <v>23</v>
      </c>
      <c r="B52" s="134" t="s">
        <v>1391</v>
      </c>
      <c r="C52" s="733">
        <v>7131930221</v>
      </c>
      <c r="D52" s="136" t="s">
        <v>1553</v>
      </c>
      <c r="E52" s="244" t="s">
        <v>453</v>
      </c>
      <c r="F52" s="138"/>
      <c r="G52" s="138"/>
      <c r="H52" s="244" t="s">
        <v>453</v>
      </c>
      <c r="I52" s="138"/>
      <c r="J52" s="138"/>
      <c r="K52" s="244">
        <v>1</v>
      </c>
      <c r="L52" s="138">
        <f>VLOOKUP(C52,'SOR RATE'!A:D,4,0)</f>
        <v>7750</v>
      </c>
      <c r="M52" s="138">
        <f>L52*K52</f>
        <v>7750</v>
      </c>
      <c r="N52" s="244">
        <v>1</v>
      </c>
      <c r="O52" s="138">
        <f>+L52</f>
        <v>7750</v>
      </c>
      <c r="P52" s="138">
        <f>O52*N52</f>
        <v>7750</v>
      </c>
    </row>
    <row r="53" spans="1:18" ht="15">
      <c r="A53" s="59">
        <v>24</v>
      </c>
      <c r="B53" s="147" t="s">
        <v>1576</v>
      </c>
      <c r="C53" s="741"/>
      <c r="D53" s="59"/>
      <c r="E53" s="59"/>
      <c r="F53" s="59"/>
      <c r="G53" s="148">
        <f>SUM(G10:G52)</f>
        <v>127269.0438</v>
      </c>
      <c r="H53" s="148"/>
      <c r="I53" s="148"/>
      <c r="J53" s="148">
        <f>SUM(J10:J52)</f>
        <v>176793.10380000004</v>
      </c>
      <c r="K53" s="148"/>
      <c r="L53" s="148"/>
      <c r="M53" s="148">
        <f>SUM(M10:M52)</f>
        <v>223747.69380000004</v>
      </c>
      <c r="N53" s="148"/>
      <c r="O53" s="148"/>
      <c r="P53" s="148">
        <f>SUM(P10:P52)</f>
        <v>352326.7738</v>
      </c>
      <c r="Q53" s="103"/>
      <c r="R53" s="98"/>
    </row>
    <row r="54" spans="1:18" ht="16.5" customHeight="1">
      <c r="A54" s="339">
        <v>25</v>
      </c>
      <c r="B54" s="139" t="s">
        <v>1575</v>
      </c>
      <c r="C54" s="246"/>
      <c r="D54" s="247"/>
      <c r="E54" s="247"/>
      <c r="F54" s="238">
        <v>0.09</v>
      </c>
      <c r="G54" s="138">
        <f>G53*F54</f>
        <v>11454.213942</v>
      </c>
      <c r="H54" s="742"/>
      <c r="I54" s="238">
        <v>0.09</v>
      </c>
      <c r="J54" s="138">
        <f>J53*I54</f>
        <v>15911.379342000004</v>
      </c>
      <c r="K54" s="742"/>
      <c r="L54" s="238">
        <v>0.09</v>
      </c>
      <c r="M54" s="138">
        <f>M53*L54</f>
        <v>20137.292442</v>
      </c>
      <c r="N54" s="742"/>
      <c r="O54" s="238">
        <v>0.09</v>
      </c>
      <c r="P54" s="138">
        <f>P53*O54</f>
        <v>31709.409642000002</v>
      </c>
      <c r="Q54" s="103"/>
      <c r="R54" s="99"/>
    </row>
    <row r="55" spans="1:16" ht="30.75" customHeight="1">
      <c r="A55" s="135">
        <v>26</v>
      </c>
      <c r="B55" s="139" t="s">
        <v>1372</v>
      </c>
      <c r="C55" s="743"/>
      <c r="D55" s="135" t="s">
        <v>454</v>
      </c>
      <c r="E55" s="135">
        <v>2.1</v>
      </c>
      <c r="F55" s="137">
        <f>1664*1.27*1.0891*1.086275*1.1112*1.0685</f>
        <v>2968.460981603261</v>
      </c>
      <c r="G55" s="137">
        <f>F55*E55</f>
        <v>6233.768061366849</v>
      </c>
      <c r="H55" s="135">
        <f>+E55</f>
        <v>2.1</v>
      </c>
      <c r="I55" s="137">
        <f>+F55</f>
        <v>2968.460981603261</v>
      </c>
      <c r="J55" s="137">
        <f>I55*H55</f>
        <v>6233.768061366849</v>
      </c>
      <c r="K55" s="226">
        <f>+H55</f>
        <v>2.1</v>
      </c>
      <c r="L55" s="137">
        <f>+I55</f>
        <v>2968.460981603261</v>
      </c>
      <c r="M55" s="137">
        <f>L55*K55</f>
        <v>6233.768061366849</v>
      </c>
      <c r="N55" s="737">
        <f>+K55</f>
        <v>2.1</v>
      </c>
      <c r="O55" s="137">
        <f>+L55</f>
        <v>2968.460981603261</v>
      </c>
      <c r="P55" s="137">
        <f>O55*N55</f>
        <v>6233.768061366849</v>
      </c>
    </row>
    <row r="56" spans="1:16" ht="18" customHeight="1">
      <c r="A56" s="135">
        <v>27</v>
      </c>
      <c r="B56" s="139" t="s">
        <v>1392</v>
      </c>
      <c r="C56" s="743"/>
      <c r="D56" s="135" t="s">
        <v>452</v>
      </c>
      <c r="E56" s="135">
        <v>1</v>
      </c>
      <c r="F56" s="137">
        <f>3075*1.27*1.0891*1.086275*1.1112*1.0685</f>
        <v>5485.587450979585</v>
      </c>
      <c r="G56" s="137">
        <f>F56*E56</f>
        <v>5485.587450979585</v>
      </c>
      <c r="H56" s="135">
        <v>1</v>
      </c>
      <c r="I56" s="137">
        <f>+F56</f>
        <v>5485.587450979585</v>
      </c>
      <c r="J56" s="137">
        <f>I56*H56</f>
        <v>5485.587450979585</v>
      </c>
      <c r="K56" s="226">
        <v>1</v>
      </c>
      <c r="L56" s="137">
        <f>+F56</f>
        <v>5485.587450979585</v>
      </c>
      <c r="M56" s="137">
        <f>L56*K56</f>
        <v>5485.587450979585</v>
      </c>
      <c r="N56" s="136">
        <v>1</v>
      </c>
      <c r="O56" s="137">
        <f>+F56</f>
        <v>5485.587450979585</v>
      </c>
      <c r="P56" s="137">
        <f>O56*N56</f>
        <v>5485.587450979585</v>
      </c>
    </row>
    <row r="57" spans="1:18" ht="17.25" customHeight="1">
      <c r="A57" s="136">
        <v>28</v>
      </c>
      <c r="B57" s="134" t="s">
        <v>542</v>
      </c>
      <c r="C57" s="733"/>
      <c r="D57" s="136"/>
      <c r="E57" s="136"/>
      <c r="F57" s="136"/>
      <c r="G57" s="138">
        <v>7965.45</v>
      </c>
      <c r="H57" s="136"/>
      <c r="I57" s="136"/>
      <c r="J57" s="138">
        <v>8367.24</v>
      </c>
      <c r="K57" s="136"/>
      <c r="L57" s="136"/>
      <c r="M57" s="138">
        <f>+J57</f>
        <v>8367.24</v>
      </c>
      <c r="N57" s="136"/>
      <c r="O57" s="136"/>
      <c r="P57" s="138">
        <v>10382.45</v>
      </c>
      <c r="Q57" s="432"/>
      <c r="R57" s="35"/>
    </row>
    <row r="58" spans="1:16" ht="43.5" customHeight="1">
      <c r="A58" s="136">
        <v>29</v>
      </c>
      <c r="B58" s="134" t="s">
        <v>192</v>
      </c>
      <c r="C58" s="743"/>
      <c r="D58" s="136"/>
      <c r="E58" s="136"/>
      <c r="F58" s="136"/>
      <c r="G58" s="138">
        <f>1.1*1.1*2363*1.2*1.1*1.1797*1.1402*0.9368</f>
        <v>4755.7883787147575</v>
      </c>
      <c r="H58" s="136"/>
      <c r="I58" s="136"/>
      <c r="J58" s="138">
        <f>1.1*1.1*2616*1.2*1.1*1.1797*1.1402*0.9368</f>
        <v>5264.9777396182</v>
      </c>
      <c r="K58" s="136"/>
      <c r="L58" s="136"/>
      <c r="M58" s="138">
        <f>+J58</f>
        <v>5264.9777396182</v>
      </c>
      <c r="N58" s="136"/>
      <c r="O58" s="136"/>
      <c r="P58" s="138">
        <f>+J58</f>
        <v>5264.9777396182</v>
      </c>
    </row>
    <row r="59" spans="1:17" ht="15">
      <c r="A59" s="59">
        <v>30</v>
      </c>
      <c r="B59" s="147" t="s">
        <v>1577</v>
      </c>
      <c r="C59" s="743"/>
      <c r="D59" s="136"/>
      <c r="E59" s="136"/>
      <c r="F59" s="136"/>
      <c r="G59" s="148">
        <f>G53+G54+G55+G56+G57+G58</f>
        <v>163163.85163306122</v>
      </c>
      <c r="H59" s="59"/>
      <c r="I59" s="59"/>
      <c r="J59" s="148">
        <f>J53+J54+J55+J56+J57+J58</f>
        <v>218056.05639396468</v>
      </c>
      <c r="K59" s="59"/>
      <c r="L59" s="59"/>
      <c r="M59" s="148">
        <f>M53+M54+M55+M56+M57+M58</f>
        <v>269236.5594939647</v>
      </c>
      <c r="N59" s="59"/>
      <c r="O59" s="59"/>
      <c r="P59" s="148">
        <f>P53+P54+P55+P56+P57+P58</f>
        <v>411402.96669396467</v>
      </c>
      <c r="Q59" s="104"/>
    </row>
    <row r="60" spans="1:17" ht="46.5" customHeight="1">
      <c r="A60" s="136">
        <v>31</v>
      </c>
      <c r="B60" s="139" t="s">
        <v>1578</v>
      </c>
      <c r="C60" s="743"/>
      <c r="D60" s="136"/>
      <c r="E60" s="136"/>
      <c r="F60" s="136">
        <v>0.11</v>
      </c>
      <c r="G60" s="138">
        <f>G53*F60</f>
        <v>13999.594818</v>
      </c>
      <c r="H60" s="136"/>
      <c r="I60" s="136">
        <v>0.11</v>
      </c>
      <c r="J60" s="138">
        <f>J53*I60</f>
        <v>19447.241418000005</v>
      </c>
      <c r="K60" s="136"/>
      <c r="L60" s="136">
        <v>0.11</v>
      </c>
      <c r="M60" s="138">
        <f>M53*L60</f>
        <v>24612.246318000005</v>
      </c>
      <c r="N60" s="136"/>
      <c r="O60" s="136">
        <v>0.11</v>
      </c>
      <c r="P60" s="138">
        <f>P53*O60</f>
        <v>38755.945118</v>
      </c>
      <c r="Q60" s="104"/>
    </row>
    <row r="61" spans="1:16" ht="16.5" customHeight="1">
      <c r="A61" s="136">
        <v>32</v>
      </c>
      <c r="B61" s="134" t="s">
        <v>1395</v>
      </c>
      <c r="C61" s="733"/>
      <c r="D61" s="136"/>
      <c r="E61" s="136"/>
      <c r="F61" s="136"/>
      <c r="G61" s="138">
        <f>G59+G60</f>
        <v>177163.44645106123</v>
      </c>
      <c r="H61" s="138"/>
      <c r="I61" s="138"/>
      <c r="J61" s="138">
        <f>J59+J60</f>
        <v>237503.2978119647</v>
      </c>
      <c r="K61" s="138"/>
      <c r="L61" s="138"/>
      <c r="M61" s="138">
        <f>M59+M60</f>
        <v>293848.80581196473</v>
      </c>
      <c r="N61" s="138"/>
      <c r="O61" s="138"/>
      <c r="P61" s="138">
        <f>P59+P60</f>
        <v>450158.9118119647</v>
      </c>
    </row>
    <row r="62" spans="1:16" ht="30">
      <c r="A62" s="59">
        <v>33</v>
      </c>
      <c r="B62" s="234" t="s">
        <v>1487</v>
      </c>
      <c r="C62" s="744"/>
      <c r="D62" s="59"/>
      <c r="E62" s="59"/>
      <c r="F62" s="59"/>
      <c r="G62" s="202">
        <f>ROUND(G61,0)</f>
        <v>177163</v>
      </c>
      <c r="H62" s="202"/>
      <c r="I62" s="202"/>
      <c r="J62" s="202">
        <f>ROUND(J61,0)</f>
        <v>237503</v>
      </c>
      <c r="K62" s="202"/>
      <c r="L62" s="202"/>
      <c r="M62" s="202">
        <f>ROUND(M61,0)</f>
        <v>293849</v>
      </c>
      <c r="N62" s="202"/>
      <c r="O62" s="202"/>
      <c r="P62" s="202">
        <f>ROUND(P61,0)</f>
        <v>450159</v>
      </c>
    </row>
    <row r="63" spans="1:16" ht="15">
      <c r="A63" s="745"/>
      <c r="B63" s="745"/>
      <c r="C63" s="745"/>
      <c r="D63" s="745"/>
      <c r="E63" s="745"/>
      <c r="F63" s="745"/>
      <c r="G63" s="745"/>
      <c r="H63" s="745"/>
      <c r="I63" s="745"/>
      <c r="J63" s="745"/>
      <c r="K63" s="745"/>
      <c r="L63" s="745"/>
      <c r="M63" s="745"/>
      <c r="N63" s="745"/>
      <c r="O63" s="745"/>
      <c r="P63" s="745"/>
    </row>
    <row r="64" spans="1:16" ht="15" customHeight="1">
      <c r="A64" s="746"/>
      <c r="B64" s="1266" t="s">
        <v>193</v>
      </c>
      <c r="C64" s="1266"/>
      <c r="D64" s="1266"/>
      <c r="E64" s="1266"/>
      <c r="F64" s="1266"/>
      <c r="G64" s="1266"/>
      <c r="H64" s="747"/>
      <c r="I64" s="747"/>
      <c r="J64" s="747"/>
      <c r="K64" s="747"/>
      <c r="L64" s="747"/>
      <c r="M64" s="747"/>
      <c r="N64" s="747"/>
      <c r="O64" s="747"/>
      <c r="P64" s="747"/>
    </row>
    <row r="65" spans="1:16" ht="14.25">
      <c r="A65" s="748"/>
      <c r="B65" s="1264" t="s">
        <v>194</v>
      </c>
      <c r="C65" s="1264"/>
      <c r="D65" s="1264"/>
      <c r="E65" s="1264"/>
      <c r="F65" s="1264"/>
      <c r="G65" s="1264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4.25">
      <c r="A66" s="8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9" ht="36.75" customHeight="1">
      <c r="B67" s="1265" t="s">
        <v>1398</v>
      </c>
      <c r="C67" s="1265"/>
      <c r="D67" s="1265"/>
      <c r="E67" s="1265"/>
      <c r="F67" s="1265"/>
      <c r="G67" s="1265"/>
      <c r="H67" s="749"/>
      <c r="I67" s="749"/>
    </row>
    <row r="72" spans="1:16" ht="15.75">
      <c r="A72" s="89"/>
      <c r="B72" s="750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ht="12.75">
      <c r="A73" s="89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ht="14.25">
      <c r="A74" s="424"/>
      <c r="B74" s="79"/>
      <c r="C74" s="751"/>
      <c r="D74" s="424"/>
      <c r="E74" s="424"/>
      <c r="F74" s="509"/>
      <c r="G74" s="509"/>
      <c r="H74" s="752"/>
      <c r="I74" s="509"/>
      <c r="J74" s="509"/>
      <c r="K74" s="752"/>
      <c r="L74" s="509"/>
      <c r="M74" s="509"/>
      <c r="N74" s="752"/>
      <c r="O74" s="509"/>
      <c r="P74" s="509"/>
    </row>
    <row r="75" spans="1:16" ht="12.75">
      <c r="A75" s="89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86" spans="2:3" ht="15.75">
      <c r="B86" s="1145" t="s">
        <v>549</v>
      </c>
      <c r="C86" s="1145"/>
    </row>
    <row r="88" spans="2:4" ht="14.25">
      <c r="B88" s="313" t="s">
        <v>854</v>
      </c>
      <c r="C88" s="259">
        <v>7130820155</v>
      </c>
      <c r="D88" s="260" t="s">
        <v>452</v>
      </c>
    </row>
  </sheetData>
  <sheetProtection/>
  <mergeCells count="20">
    <mergeCell ref="F1:J1"/>
    <mergeCell ref="B3:N3"/>
    <mergeCell ref="A6:A7"/>
    <mergeCell ref="B6:B7"/>
    <mergeCell ref="C6:C7"/>
    <mergeCell ref="D6:D7"/>
    <mergeCell ref="E6:G6"/>
    <mergeCell ref="H6:J6"/>
    <mergeCell ref="N6:P6"/>
    <mergeCell ref="K6:M6"/>
    <mergeCell ref="B86:C86"/>
    <mergeCell ref="B65:G65"/>
    <mergeCell ref="B67:G67"/>
    <mergeCell ref="A9:A13"/>
    <mergeCell ref="A25:A26"/>
    <mergeCell ref="A37:A41"/>
    <mergeCell ref="B64:G64"/>
    <mergeCell ref="A16:A17"/>
    <mergeCell ref="A22:A24"/>
    <mergeCell ref="A30:A32"/>
  </mergeCells>
  <printOptions/>
  <pageMargins left="0.5905511811023623" right="0.15748031496062992" top="0.5905511811023623" bottom="0.35433070866141736" header="0.4330708661417323" footer="0.2755905511811024"/>
  <pageSetup fitToHeight="3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V7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28125" style="36" customWidth="1"/>
    <col min="2" max="2" width="35.00390625" style="1" customWidth="1"/>
    <col min="3" max="3" width="12.7109375" style="1" customWidth="1"/>
    <col min="4" max="4" width="5.8515625" style="1" bestFit="1" customWidth="1"/>
    <col min="5" max="5" width="6.57421875" style="1" customWidth="1"/>
    <col min="6" max="6" width="9.57421875" style="1" bestFit="1" customWidth="1"/>
    <col min="7" max="7" width="10.57421875" style="1" customWidth="1"/>
    <col min="8" max="8" width="6.421875" style="1" customWidth="1"/>
    <col min="9" max="9" width="9.57421875" style="1" customWidth="1"/>
    <col min="10" max="10" width="10.7109375" style="1" customWidth="1"/>
    <col min="11" max="11" width="6.421875" style="1" customWidth="1"/>
    <col min="12" max="13" width="10.7109375" style="1" bestFit="1" customWidth="1"/>
    <col min="14" max="14" width="6.421875" style="1" customWidth="1"/>
    <col min="15" max="16" width="10.7109375" style="1" bestFit="1" customWidth="1"/>
    <col min="17" max="17" width="10.57421875" style="1" customWidth="1"/>
    <col min="18" max="18" width="9.140625" style="1" customWidth="1"/>
    <col min="19" max="19" width="13.57421875" style="1" customWidth="1"/>
    <col min="20" max="16384" width="9.140625" style="1" customWidth="1"/>
  </cols>
  <sheetData>
    <row r="1" spans="1:22" ht="19.5" customHeight="1">
      <c r="A1" s="753"/>
      <c r="B1" s="754"/>
      <c r="C1" s="754"/>
      <c r="D1" s="1153" t="s">
        <v>433</v>
      </c>
      <c r="E1" s="1153"/>
      <c r="F1" s="1153"/>
      <c r="G1" s="1153"/>
      <c r="H1" s="1153"/>
      <c r="I1" s="1153"/>
      <c r="J1" s="1153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13" ht="15.75">
      <c r="A2" s="755"/>
      <c r="B2" s="756"/>
      <c r="C2" s="756"/>
      <c r="D2" s="757"/>
      <c r="E2" s="755"/>
      <c r="F2" s="758"/>
      <c r="G2" s="758"/>
      <c r="H2" s="755"/>
      <c r="I2" s="758"/>
      <c r="J2" s="758"/>
      <c r="K2" s="755"/>
      <c r="L2" s="758"/>
      <c r="M2" s="758"/>
    </row>
    <row r="3" spans="2:16" ht="33.75" customHeight="1">
      <c r="B3" s="1156" t="s">
        <v>195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759"/>
      <c r="O3" s="759"/>
      <c r="P3" s="759"/>
    </row>
    <row r="4" spans="2:16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759"/>
      <c r="O4" s="759"/>
      <c r="P4" s="759"/>
    </row>
    <row r="5" spans="1:16" ht="15" customHeight="1">
      <c r="A5" s="760" t="s">
        <v>196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1243" t="s">
        <v>551</v>
      </c>
      <c r="O5" s="1243"/>
      <c r="P5" s="761"/>
    </row>
    <row r="6" spans="1:13" ht="15.75">
      <c r="A6" s="762"/>
      <c r="B6" s="763"/>
      <c r="C6" s="763"/>
      <c r="D6" s="764"/>
      <c r="E6" s="762"/>
      <c r="F6" s="765"/>
      <c r="G6" s="765"/>
      <c r="H6" s="762"/>
      <c r="I6" s="765"/>
      <c r="J6" s="765"/>
      <c r="K6" s="762"/>
      <c r="L6" s="765"/>
      <c r="M6" s="765"/>
    </row>
    <row r="7" spans="1:16" ht="15.75" customHeight="1">
      <c r="A7" s="1231" t="s">
        <v>1335</v>
      </c>
      <c r="B7" s="1273" t="s">
        <v>449</v>
      </c>
      <c r="C7" s="1274" t="s">
        <v>53</v>
      </c>
      <c r="D7" s="1276" t="s">
        <v>450</v>
      </c>
      <c r="E7" s="1269" t="s">
        <v>1300</v>
      </c>
      <c r="F7" s="1269"/>
      <c r="G7" s="1269"/>
      <c r="H7" s="1269" t="s">
        <v>1301</v>
      </c>
      <c r="I7" s="1269"/>
      <c r="J7" s="1269"/>
      <c r="K7" s="1269" t="s">
        <v>1302</v>
      </c>
      <c r="L7" s="1269"/>
      <c r="M7" s="1269"/>
      <c r="N7" s="1269" t="s">
        <v>1303</v>
      </c>
      <c r="O7" s="1269"/>
      <c r="P7" s="1269"/>
    </row>
    <row r="8" spans="1:16" ht="15.75">
      <c r="A8" s="1232"/>
      <c r="B8" s="1273"/>
      <c r="C8" s="1275"/>
      <c r="D8" s="1277"/>
      <c r="E8" s="192" t="s">
        <v>1315</v>
      </c>
      <c r="F8" s="17" t="s">
        <v>1309</v>
      </c>
      <c r="G8" s="766" t="s">
        <v>800</v>
      </c>
      <c r="H8" s="192" t="s">
        <v>1315</v>
      </c>
      <c r="I8" s="17" t="s">
        <v>1309</v>
      </c>
      <c r="J8" s="766" t="s">
        <v>800</v>
      </c>
      <c r="K8" s="192" t="s">
        <v>1315</v>
      </c>
      <c r="L8" s="17" t="s">
        <v>799</v>
      </c>
      <c r="M8" s="766" t="s">
        <v>800</v>
      </c>
      <c r="N8" s="192" t="s">
        <v>1315</v>
      </c>
      <c r="O8" s="17" t="s">
        <v>799</v>
      </c>
      <c r="P8" s="766" t="s">
        <v>800</v>
      </c>
    </row>
    <row r="9" spans="1:16" ht="15">
      <c r="A9" s="767">
        <v>1</v>
      </c>
      <c r="B9" s="767">
        <v>2</v>
      </c>
      <c r="C9" s="767">
        <v>3</v>
      </c>
      <c r="D9" s="767">
        <v>4</v>
      </c>
      <c r="E9" s="767">
        <v>5</v>
      </c>
      <c r="F9" s="767">
        <v>6</v>
      </c>
      <c r="G9" s="767">
        <v>7</v>
      </c>
      <c r="H9" s="767">
        <v>8</v>
      </c>
      <c r="I9" s="767">
        <v>9</v>
      </c>
      <c r="J9" s="767">
        <v>10</v>
      </c>
      <c r="K9" s="767">
        <v>11</v>
      </c>
      <c r="L9" s="767">
        <v>12</v>
      </c>
      <c r="M9" s="767">
        <v>13</v>
      </c>
      <c r="N9" s="767">
        <v>14</v>
      </c>
      <c r="O9" s="767">
        <v>15</v>
      </c>
      <c r="P9" s="767">
        <v>16</v>
      </c>
    </row>
    <row r="10" spans="1:18" ht="45" customHeight="1">
      <c r="A10" s="183">
        <v>1</v>
      </c>
      <c r="B10" s="151" t="s">
        <v>197</v>
      </c>
      <c r="C10" s="140">
        <v>7130601965</v>
      </c>
      <c r="D10" s="135" t="s">
        <v>458</v>
      </c>
      <c r="E10" s="135">
        <v>816.2</v>
      </c>
      <c r="F10" s="137">
        <f>VLOOKUP(C10,'SOR RATE'!A:D,4,0)/1000</f>
        <v>44.989</v>
      </c>
      <c r="G10" s="137">
        <f>F10*E10</f>
        <v>36720.0218</v>
      </c>
      <c r="H10" s="135">
        <f>+E10</f>
        <v>816.2</v>
      </c>
      <c r="I10" s="137">
        <f>+F10</f>
        <v>44.989</v>
      </c>
      <c r="J10" s="137">
        <f>I10*H10</f>
        <v>36720.0218</v>
      </c>
      <c r="K10" s="252">
        <f>+H10</f>
        <v>816.2</v>
      </c>
      <c r="L10" s="768">
        <f>+I10</f>
        <v>44.989</v>
      </c>
      <c r="M10" s="137">
        <f>L10*K10</f>
        <v>36720.0218</v>
      </c>
      <c r="N10" s="252">
        <f>+K10</f>
        <v>816.2</v>
      </c>
      <c r="O10" s="768">
        <f>+L10</f>
        <v>44.989</v>
      </c>
      <c r="P10" s="137">
        <f>O10*N10</f>
        <v>36720.0218</v>
      </c>
      <c r="Q10" s="1116"/>
      <c r="R10" s="507"/>
    </row>
    <row r="11" spans="1:16" ht="27.75" customHeight="1">
      <c r="A11" s="183">
        <v>2</v>
      </c>
      <c r="B11" s="229" t="s">
        <v>10</v>
      </c>
      <c r="C11" s="733">
        <v>7130810517</v>
      </c>
      <c r="D11" s="135" t="s">
        <v>452</v>
      </c>
      <c r="E11" s="135">
        <v>1</v>
      </c>
      <c r="F11" s="137">
        <f>VLOOKUP(C11,'SOR RATE'!A:D,4,0)</f>
        <v>4547</v>
      </c>
      <c r="G11" s="137">
        <f aca="true" t="shared" si="0" ref="G11:G20">F11*E11</f>
        <v>4547</v>
      </c>
      <c r="H11" s="135">
        <v>1</v>
      </c>
      <c r="I11" s="137">
        <f aca="true" t="shared" si="1" ref="I11:I24">+F11</f>
        <v>4547</v>
      </c>
      <c r="J11" s="137">
        <f aca="true" t="shared" si="2" ref="J11:J20">I11*H11</f>
        <v>4547</v>
      </c>
      <c r="K11" s="135">
        <v>1</v>
      </c>
      <c r="L11" s="137">
        <f aca="true" t="shared" si="3" ref="L11:L24">+F11</f>
        <v>4547</v>
      </c>
      <c r="M11" s="137">
        <f aca="true" t="shared" si="4" ref="M11:M20">L11*K11</f>
        <v>4547</v>
      </c>
      <c r="N11" s="135">
        <v>1</v>
      </c>
      <c r="O11" s="137">
        <f aca="true" t="shared" si="5" ref="O11:O20">+I11</f>
        <v>4547</v>
      </c>
      <c r="P11" s="137">
        <f aca="true" t="shared" si="6" ref="P11:P20">O11*N11</f>
        <v>4547</v>
      </c>
    </row>
    <row r="12" spans="1:18" ht="14.25">
      <c r="A12" s="183">
        <v>3</v>
      </c>
      <c r="B12" s="134" t="s">
        <v>1030</v>
      </c>
      <c r="C12" s="733">
        <v>7130820010</v>
      </c>
      <c r="D12" s="135" t="s">
        <v>452</v>
      </c>
      <c r="E12" s="135">
        <v>3</v>
      </c>
      <c r="F12" s="137">
        <f>VLOOKUP(C12,'SOR RATE'!A:D,4,0)</f>
        <v>140</v>
      </c>
      <c r="G12" s="137">
        <f t="shared" si="0"/>
        <v>420</v>
      </c>
      <c r="H12" s="135">
        <v>3</v>
      </c>
      <c r="I12" s="137">
        <f t="shared" si="1"/>
        <v>140</v>
      </c>
      <c r="J12" s="137">
        <f t="shared" si="2"/>
        <v>420</v>
      </c>
      <c r="K12" s="135">
        <v>3</v>
      </c>
      <c r="L12" s="137">
        <f t="shared" si="3"/>
        <v>140</v>
      </c>
      <c r="M12" s="137">
        <f t="shared" si="4"/>
        <v>420</v>
      </c>
      <c r="N12" s="135">
        <v>3</v>
      </c>
      <c r="O12" s="137">
        <f t="shared" si="5"/>
        <v>140</v>
      </c>
      <c r="P12" s="137">
        <f t="shared" si="6"/>
        <v>420</v>
      </c>
      <c r="R12" s="56" t="s">
        <v>1031</v>
      </c>
    </row>
    <row r="13" spans="1:16" ht="14.25">
      <c r="A13" s="183">
        <v>4</v>
      </c>
      <c r="B13" s="229" t="s">
        <v>899</v>
      </c>
      <c r="C13" s="733">
        <v>7130820241</v>
      </c>
      <c r="D13" s="135" t="s">
        <v>803</v>
      </c>
      <c r="E13" s="135">
        <v>3</v>
      </c>
      <c r="F13" s="137">
        <f>VLOOKUP(C13,'SOR RATE'!A:D,4,0)</f>
        <v>123</v>
      </c>
      <c r="G13" s="137">
        <f t="shared" si="0"/>
        <v>369</v>
      </c>
      <c r="H13" s="135">
        <v>3</v>
      </c>
      <c r="I13" s="137">
        <f t="shared" si="1"/>
        <v>123</v>
      </c>
      <c r="J13" s="137">
        <f t="shared" si="2"/>
        <v>369</v>
      </c>
      <c r="K13" s="135">
        <v>3</v>
      </c>
      <c r="L13" s="137">
        <f t="shared" si="3"/>
        <v>123</v>
      </c>
      <c r="M13" s="137">
        <f t="shared" si="4"/>
        <v>369</v>
      </c>
      <c r="N13" s="135">
        <v>3</v>
      </c>
      <c r="O13" s="137">
        <f t="shared" si="5"/>
        <v>123</v>
      </c>
      <c r="P13" s="137">
        <f t="shared" si="6"/>
        <v>369</v>
      </c>
    </row>
    <row r="14" spans="1:18" ht="28.5">
      <c r="A14" s="201">
        <v>5</v>
      </c>
      <c r="B14" s="229" t="s">
        <v>1545</v>
      </c>
      <c r="C14" s="259">
        <v>7130820008</v>
      </c>
      <c r="D14" s="260" t="s">
        <v>452</v>
      </c>
      <c r="E14" s="135">
        <v>6</v>
      </c>
      <c r="F14" s="137">
        <f>VLOOKUP(C14,'SOR RATE'!A:D,4,0)</f>
        <v>157</v>
      </c>
      <c r="G14" s="137">
        <f t="shared" si="0"/>
        <v>942</v>
      </c>
      <c r="H14" s="135">
        <v>6</v>
      </c>
      <c r="I14" s="137">
        <f t="shared" si="1"/>
        <v>157</v>
      </c>
      <c r="J14" s="137">
        <f t="shared" si="2"/>
        <v>942</v>
      </c>
      <c r="K14" s="135">
        <v>6</v>
      </c>
      <c r="L14" s="137">
        <f t="shared" si="3"/>
        <v>157</v>
      </c>
      <c r="M14" s="137">
        <f t="shared" si="4"/>
        <v>942</v>
      </c>
      <c r="N14" s="135">
        <v>6</v>
      </c>
      <c r="O14" s="137">
        <f>+F14</f>
        <v>157</v>
      </c>
      <c r="P14" s="137">
        <f t="shared" si="6"/>
        <v>942</v>
      </c>
      <c r="Q14" s="104"/>
      <c r="R14" s="56" t="s">
        <v>383</v>
      </c>
    </row>
    <row r="15" spans="1:16" ht="28.5">
      <c r="A15" s="201">
        <v>6</v>
      </c>
      <c r="B15" s="228" t="s">
        <v>198</v>
      </c>
      <c r="C15" s="736">
        <v>7130810509</v>
      </c>
      <c r="D15" s="225" t="s">
        <v>452</v>
      </c>
      <c r="E15" s="225">
        <v>1</v>
      </c>
      <c r="F15" s="137">
        <f>VLOOKUP(C15,'SOR RATE'!A205:D205,4,0)</f>
        <v>3322</v>
      </c>
      <c r="G15" s="137">
        <f t="shared" si="0"/>
        <v>3322</v>
      </c>
      <c r="H15" s="225">
        <v>1</v>
      </c>
      <c r="I15" s="137">
        <f t="shared" si="1"/>
        <v>3322</v>
      </c>
      <c r="J15" s="137">
        <f t="shared" si="2"/>
        <v>3322</v>
      </c>
      <c r="K15" s="225">
        <v>1</v>
      </c>
      <c r="L15" s="137">
        <f t="shared" si="3"/>
        <v>3322</v>
      </c>
      <c r="M15" s="137">
        <f t="shared" si="4"/>
        <v>3322</v>
      </c>
      <c r="N15" s="225">
        <v>1</v>
      </c>
      <c r="O15" s="137">
        <f t="shared" si="5"/>
        <v>3322</v>
      </c>
      <c r="P15" s="137">
        <f t="shared" si="6"/>
        <v>3322</v>
      </c>
    </row>
    <row r="16" spans="1:16" ht="14.25">
      <c r="A16" s="135">
        <v>7</v>
      </c>
      <c r="B16" s="134" t="s">
        <v>188</v>
      </c>
      <c r="C16" s="733">
        <v>7131930412</v>
      </c>
      <c r="D16" s="135" t="s">
        <v>1553</v>
      </c>
      <c r="E16" s="135">
        <v>3</v>
      </c>
      <c r="F16" s="137">
        <f>VLOOKUP(C16,'SOR RATE'!A:D,4,0)</f>
        <v>1199</v>
      </c>
      <c r="G16" s="137">
        <f t="shared" si="0"/>
        <v>3597</v>
      </c>
      <c r="H16" s="135">
        <v>3</v>
      </c>
      <c r="I16" s="137">
        <f t="shared" si="1"/>
        <v>1199</v>
      </c>
      <c r="J16" s="137">
        <f t="shared" si="2"/>
        <v>3597</v>
      </c>
      <c r="K16" s="135">
        <v>3</v>
      </c>
      <c r="L16" s="137">
        <f t="shared" si="3"/>
        <v>1199</v>
      </c>
      <c r="M16" s="137">
        <f t="shared" si="4"/>
        <v>3597</v>
      </c>
      <c r="N16" s="135">
        <v>3</v>
      </c>
      <c r="O16" s="137">
        <f t="shared" si="5"/>
        <v>1199</v>
      </c>
      <c r="P16" s="137">
        <f t="shared" si="6"/>
        <v>3597</v>
      </c>
    </row>
    <row r="17" spans="1:16" ht="29.25" customHeight="1">
      <c r="A17" s="183">
        <v>8</v>
      </c>
      <c r="B17" s="229" t="s">
        <v>901</v>
      </c>
      <c r="C17" s="135">
        <v>7130600023</v>
      </c>
      <c r="D17" s="135" t="s">
        <v>1369</v>
      </c>
      <c r="E17" s="135">
        <v>20</v>
      </c>
      <c r="F17" s="137">
        <f>VLOOKUP(C17,'SOR RATE'!A:D,4,0)/1000</f>
        <v>40.214</v>
      </c>
      <c r="G17" s="137">
        <f t="shared" si="0"/>
        <v>804.28</v>
      </c>
      <c r="H17" s="135">
        <v>20</v>
      </c>
      <c r="I17" s="137">
        <f>+F17</f>
        <v>40.214</v>
      </c>
      <c r="J17" s="137">
        <f t="shared" si="2"/>
        <v>804.28</v>
      </c>
      <c r="K17" s="135">
        <v>20</v>
      </c>
      <c r="L17" s="137">
        <f>+F17</f>
        <v>40.214</v>
      </c>
      <c r="M17" s="137">
        <f t="shared" si="4"/>
        <v>804.28</v>
      </c>
      <c r="N17" s="135">
        <v>20</v>
      </c>
      <c r="O17" s="137">
        <f t="shared" si="5"/>
        <v>40.214</v>
      </c>
      <c r="P17" s="137">
        <f t="shared" si="6"/>
        <v>804.28</v>
      </c>
    </row>
    <row r="18" spans="1:16" ht="14.25">
      <c r="A18" s="1270">
        <v>9</v>
      </c>
      <c r="B18" s="229" t="s">
        <v>14</v>
      </c>
      <c r="C18" s="733">
        <v>7130860032</v>
      </c>
      <c r="D18" s="135" t="s">
        <v>452</v>
      </c>
      <c r="E18" s="135">
        <v>4</v>
      </c>
      <c r="F18" s="137">
        <f>VLOOKUP(C18,'SOR RATE'!A:D,4,0)</f>
        <v>387</v>
      </c>
      <c r="G18" s="137">
        <f t="shared" si="0"/>
        <v>1548</v>
      </c>
      <c r="H18" s="135">
        <v>4</v>
      </c>
      <c r="I18" s="137">
        <f t="shared" si="1"/>
        <v>387</v>
      </c>
      <c r="J18" s="137">
        <f t="shared" si="2"/>
        <v>1548</v>
      </c>
      <c r="K18" s="135">
        <v>4</v>
      </c>
      <c r="L18" s="137">
        <f t="shared" si="3"/>
        <v>387</v>
      </c>
      <c r="M18" s="137">
        <f t="shared" si="4"/>
        <v>1548</v>
      </c>
      <c r="N18" s="135">
        <v>4</v>
      </c>
      <c r="O18" s="137">
        <f t="shared" si="5"/>
        <v>387</v>
      </c>
      <c r="P18" s="137">
        <f t="shared" si="6"/>
        <v>1548</v>
      </c>
    </row>
    <row r="19" spans="1:16" ht="28.5">
      <c r="A19" s="1271"/>
      <c r="B19" s="229" t="s">
        <v>1373</v>
      </c>
      <c r="C19" s="733">
        <v>7130860077</v>
      </c>
      <c r="D19" s="135" t="s">
        <v>458</v>
      </c>
      <c r="E19" s="135">
        <v>22</v>
      </c>
      <c r="F19" s="137">
        <f>VLOOKUP(C19,'SOR RATE'!A:D,4,0)/1000</f>
        <v>61.6</v>
      </c>
      <c r="G19" s="137">
        <f t="shared" si="0"/>
        <v>1355.2</v>
      </c>
      <c r="H19" s="135">
        <v>22</v>
      </c>
      <c r="I19" s="137">
        <f t="shared" si="1"/>
        <v>61.6</v>
      </c>
      <c r="J19" s="137">
        <f t="shared" si="2"/>
        <v>1355.2</v>
      </c>
      <c r="K19" s="135">
        <v>22</v>
      </c>
      <c r="L19" s="137">
        <f t="shared" si="3"/>
        <v>61.6</v>
      </c>
      <c r="M19" s="137">
        <f t="shared" si="4"/>
        <v>1355.2</v>
      </c>
      <c r="N19" s="135">
        <v>22</v>
      </c>
      <c r="O19" s="137">
        <f t="shared" si="5"/>
        <v>61.6</v>
      </c>
      <c r="P19" s="137">
        <f t="shared" si="6"/>
        <v>1355.2</v>
      </c>
    </row>
    <row r="20" spans="1:16" ht="14.25">
      <c r="A20" s="1271"/>
      <c r="B20" s="425" t="s">
        <v>277</v>
      </c>
      <c r="C20" s="140">
        <v>7130810692</v>
      </c>
      <c r="D20" s="135" t="s">
        <v>452</v>
      </c>
      <c r="E20" s="135">
        <v>4</v>
      </c>
      <c r="F20" s="137">
        <f>VLOOKUP(C20,'SOR RATE'!A:D,4,0)</f>
        <v>294</v>
      </c>
      <c r="G20" s="137">
        <f t="shared" si="0"/>
        <v>1176</v>
      </c>
      <c r="H20" s="135">
        <v>4</v>
      </c>
      <c r="I20" s="137">
        <f t="shared" si="1"/>
        <v>294</v>
      </c>
      <c r="J20" s="137">
        <f t="shared" si="2"/>
        <v>1176</v>
      </c>
      <c r="K20" s="135">
        <v>4</v>
      </c>
      <c r="L20" s="137">
        <f t="shared" si="3"/>
        <v>294</v>
      </c>
      <c r="M20" s="137">
        <f t="shared" si="4"/>
        <v>1176</v>
      </c>
      <c r="N20" s="135">
        <v>4</v>
      </c>
      <c r="O20" s="137">
        <f t="shared" si="5"/>
        <v>294</v>
      </c>
      <c r="P20" s="137">
        <f t="shared" si="6"/>
        <v>1176</v>
      </c>
    </row>
    <row r="21" spans="1:16" ht="45.75" customHeight="1">
      <c r="A21" s="1270">
        <v>10</v>
      </c>
      <c r="B21" s="194" t="s">
        <v>189</v>
      </c>
      <c r="C21" s="22"/>
      <c r="D21" s="135" t="s">
        <v>454</v>
      </c>
      <c r="E21" s="135">
        <v>2.1</v>
      </c>
      <c r="F21" s="137"/>
      <c r="G21" s="137"/>
      <c r="H21" s="226">
        <f>+E21</f>
        <v>2.1</v>
      </c>
      <c r="I21" s="137"/>
      <c r="J21" s="137"/>
      <c r="K21" s="226">
        <f>+H21</f>
        <v>2.1</v>
      </c>
      <c r="L21" s="137"/>
      <c r="M21" s="137"/>
      <c r="N21" s="226">
        <f>+K21</f>
        <v>2.1</v>
      </c>
      <c r="O21" s="137"/>
      <c r="P21" s="137"/>
    </row>
    <row r="22" spans="1:16" ht="16.5" customHeight="1">
      <c r="A22" s="1272"/>
      <c r="B22" s="229" t="s">
        <v>307</v>
      </c>
      <c r="C22" s="734">
        <v>7130200401</v>
      </c>
      <c r="D22" s="769" t="s">
        <v>458</v>
      </c>
      <c r="E22" s="135">
        <v>437</v>
      </c>
      <c r="F22" s="137">
        <f>VLOOKUP(C22,'SOR RATE'!A:D,4,0)/50</f>
        <v>5.36</v>
      </c>
      <c r="G22" s="137">
        <f>F22*E22</f>
        <v>2342.32</v>
      </c>
      <c r="H22" s="135">
        <f>+E22</f>
        <v>437</v>
      </c>
      <c r="I22" s="137">
        <f t="shared" si="1"/>
        <v>5.36</v>
      </c>
      <c r="J22" s="137">
        <f>I22*H22</f>
        <v>2342.32</v>
      </c>
      <c r="K22" s="135">
        <f>+E22</f>
        <v>437</v>
      </c>
      <c r="L22" s="137">
        <f t="shared" si="3"/>
        <v>5.36</v>
      </c>
      <c r="M22" s="137">
        <f>L22*K22</f>
        <v>2342.32</v>
      </c>
      <c r="N22" s="135">
        <f>+H22</f>
        <v>437</v>
      </c>
      <c r="O22" s="137">
        <f>+I22</f>
        <v>5.36</v>
      </c>
      <c r="P22" s="137">
        <f>O22*N22</f>
        <v>2342.32</v>
      </c>
    </row>
    <row r="23" spans="1:16" ht="30.75" customHeight="1">
      <c r="A23" s="183">
        <v>11</v>
      </c>
      <c r="B23" s="156" t="s">
        <v>1376</v>
      </c>
      <c r="C23" s="734">
        <v>7130600023</v>
      </c>
      <c r="D23" s="769" t="s">
        <v>458</v>
      </c>
      <c r="E23" s="135">
        <v>34</v>
      </c>
      <c r="F23" s="137">
        <f>VLOOKUP(C23,'SOR RATE'!A:D,4,0)/1000</f>
        <v>40.214</v>
      </c>
      <c r="G23" s="137">
        <f>F23*E23</f>
        <v>1367.2759999999998</v>
      </c>
      <c r="H23" s="135">
        <v>34</v>
      </c>
      <c r="I23" s="137">
        <f t="shared" si="1"/>
        <v>40.214</v>
      </c>
      <c r="J23" s="137">
        <f>I23*H23</f>
        <v>1367.2759999999998</v>
      </c>
      <c r="K23" s="135">
        <v>34</v>
      </c>
      <c r="L23" s="137">
        <f t="shared" si="3"/>
        <v>40.214</v>
      </c>
      <c r="M23" s="137">
        <f>L23*K23</f>
        <v>1367.2759999999998</v>
      </c>
      <c r="N23" s="135">
        <v>34</v>
      </c>
      <c r="O23" s="137">
        <f>+I23</f>
        <v>40.214</v>
      </c>
      <c r="P23" s="137">
        <f>O23*N23</f>
        <v>1367.2759999999998</v>
      </c>
    </row>
    <row r="24" spans="1:16" ht="28.5">
      <c r="A24" s="183">
        <v>12</v>
      </c>
      <c r="B24" s="229" t="s">
        <v>1377</v>
      </c>
      <c r="C24" s="734">
        <v>7130850201</v>
      </c>
      <c r="D24" s="135" t="s">
        <v>802</v>
      </c>
      <c r="E24" s="135">
        <v>1</v>
      </c>
      <c r="F24" s="137">
        <f>VLOOKUP(C24,'SOR RATE'!A:D,4,0)</f>
        <v>4547</v>
      </c>
      <c r="G24" s="137">
        <f>F24*E24</f>
        <v>4547</v>
      </c>
      <c r="H24" s="135">
        <v>1</v>
      </c>
      <c r="I24" s="137">
        <f t="shared" si="1"/>
        <v>4547</v>
      </c>
      <c r="J24" s="137">
        <f>I24*H24</f>
        <v>4547</v>
      </c>
      <c r="K24" s="135">
        <v>1</v>
      </c>
      <c r="L24" s="137">
        <f t="shared" si="3"/>
        <v>4547</v>
      </c>
      <c r="M24" s="137">
        <f>L24*K24</f>
        <v>4547</v>
      </c>
      <c r="N24" s="135">
        <v>1</v>
      </c>
      <c r="O24" s="137">
        <f>+I24</f>
        <v>4547</v>
      </c>
      <c r="P24" s="137">
        <f>O24*N24</f>
        <v>4547</v>
      </c>
    </row>
    <row r="25" spans="1:16" ht="15" customHeight="1">
      <c r="A25" s="183">
        <v>13</v>
      </c>
      <c r="B25" s="229" t="s">
        <v>1342</v>
      </c>
      <c r="C25" s="734">
        <v>7130880041</v>
      </c>
      <c r="D25" s="135" t="s">
        <v>1553</v>
      </c>
      <c r="E25" s="135">
        <v>1</v>
      </c>
      <c r="F25" s="137">
        <f>VLOOKUP(C25,'SOR RATE'!A:D,4,0)</f>
        <v>74</v>
      </c>
      <c r="G25" s="137">
        <f>F25*E25</f>
        <v>74</v>
      </c>
      <c r="H25" s="135">
        <v>1</v>
      </c>
      <c r="I25" s="137">
        <f>+F25</f>
        <v>74</v>
      </c>
      <c r="J25" s="137">
        <f>I25*H25</f>
        <v>74</v>
      </c>
      <c r="K25" s="135">
        <v>1</v>
      </c>
      <c r="L25" s="137">
        <f>+F25</f>
        <v>74</v>
      </c>
      <c r="M25" s="137">
        <f>L25*K25</f>
        <v>74</v>
      </c>
      <c r="N25" s="135">
        <v>1</v>
      </c>
      <c r="O25" s="137">
        <f>+I25</f>
        <v>74</v>
      </c>
      <c r="P25" s="137">
        <f>O25*N25</f>
        <v>74</v>
      </c>
    </row>
    <row r="26" spans="1:16" ht="46.5" customHeight="1">
      <c r="A26" s="1270">
        <v>14</v>
      </c>
      <c r="B26" s="194" t="s">
        <v>1378</v>
      </c>
      <c r="C26" s="771"/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3"/>
    </row>
    <row r="27" spans="1:16" ht="14.25">
      <c r="A27" s="1271"/>
      <c r="B27" s="229" t="s">
        <v>199</v>
      </c>
      <c r="C27" s="734">
        <v>7130641396</v>
      </c>
      <c r="D27" s="135" t="s">
        <v>1368</v>
      </c>
      <c r="E27" s="135">
        <v>9</v>
      </c>
      <c r="F27" s="137">
        <f>VLOOKUP(C27,'SOR RATE'!A:D,4,0)</f>
        <v>190</v>
      </c>
      <c r="G27" s="137">
        <f aca="true" t="shared" si="7" ref="G27:G32">F27*E27</f>
        <v>1710</v>
      </c>
      <c r="H27" s="135">
        <v>9</v>
      </c>
      <c r="I27" s="137">
        <f aca="true" t="shared" si="8" ref="I27:I37">+F27</f>
        <v>190</v>
      </c>
      <c r="J27" s="137">
        <f aca="true" t="shared" si="9" ref="J27:J32">I27*H27</f>
        <v>1710</v>
      </c>
      <c r="K27" s="135">
        <v>9</v>
      </c>
      <c r="L27" s="137">
        <f aca="true" t="shared" si="10" ref="L27:L37">+F27</f>
        <v>190</v>
      </c>
      <c r="M27" s="137">
        <f aca="true" t="shared" si="11" ref="M27:M32">L27*K27</f>
        <v>1710</v>
      </c>
      <c r="N27" s="135">
        <v>9</v>
      </c>
      <c r="O27" s="137">
        <f aca="true" t="shared" si="12" ref="O27:O32">+I27</f>
        <v>190</v>
      </c>
      <c r="P27" s="137">
        <f aca="true" t="shared" si="13" ref="P27:P32">O27*N27</f>
        <v>1710</v>
      </c>
    </row>
    <row r="28" spans="1:16" ht="14.25">
      <c r="A28" s="1272"/>
      <c r="B28" s="229" t="s">
        <v>1334</v>
      </c>
      <c r="C28" s="734">
        <v>7130870043</v>
      </c>
      <c r="D28" s="135" t="s">
        <v>458</v>
      </c>
      <c r="E28" s="135">
        <v>15</v>
      </c>
      <c r="F28" s="137">
        <f>VLOOKUP(C28,'SOR RATE'!A:D,4,0)/1000</f>
        <v>55.094</v>
      </c>
      <c r="G28" s="137">
        <f t="shared" si="7"/>
        <v>826.41</v>
      </c>
      <c r="H28" s="135">
        <v>15</v>
      </c>
      <c r="I28" s="137">
        <f t="shared" si="8"/>
        <v>55.094</v>
      </c>
      <c r="J28" s="137">
        <f t="shared" si="9"/>
        <v>826.41</v>
      </c>
      <c r="K28" s="135">
        <v>15</v>
      </c>
      <c r="L28" s="137">
        <f t="shared" si="10"/>
        <v>55.094</v>
      </c>
      <c r="M28" s="137">
        <f t="shared" si="11"/>
        <v>826.41</v>
      </c>
      <c r="N28" s="135">
        <v>15</v>
      </c>
      <c r="O28" s="137">
        <f t="shared" si="12"/>
        <v>55.094</v>
      </c>
      <c r="P28" s="137">
        <f t="shared" si="13"/>
        <v>826.41</v>
      </c>
    </row>
    <row r="29" spans="1:19" ht="14.25">
      <c r="A29" s="183">
        <v>15</v>
      </c>
      <c r="B29" s="139" t="s">
        <v>308</v>
      </c>
      <c r="C29" s="140">
        <v>7130610206</v>
      </c>
      <c r="D29" s="136" t="s">
        <v>458</v>
      </c>
      <c r="E29" s="135">
        <v>2</v>
      </c>
      <c r="F29" s="137">
        <f>VLOOKUP(C29,'SOR RATE'!A:D,4,0)/1000</f>
        <v>66.528</v>
      </c>
      <c r="G29" s="137">
        <f t="shared" si="7"/>
        <v>133.056</v>
      </c>
      <c r="H29" s="135">
        <v>2</v>
      </c>
      <c r="I29" s="137">
        <f t="shared" si="8"/>
        <v>66.528</v>
      </c>
      <c r="J29" s="137">
        <f t="shared" si="9"/>
        <v>133.056</v>
      </c>
      <c r="K29" s="135">
        <v>2</v>
      </c>
      <c r="L29" s="137">
        <f t="shared" si="10"/>
        <v>66.528</v>
      </c>
      <c r="M29" s="137">
        <f t="shared" si="11"/>
        <v>133.056</v>
      </c>
      <c r="N29" s="135">
        <v>2</v>
      </c>
      <c r="O29" s="137">
        <f t="shared" si="12"/>
        <v>66.528</v>
      </c>
      <c r="P29" s="137">
        <f t="shared" si="13"/>
        <v>133.056</v>
      </c>
      <c r="Q29" s="106"/>
      <c r="R29" s="64"/>
      <c r="S29" s="64"/>
    </row>
    <row r="30" spans="1:16" ht="14.25">
      <c r="A30" s="183">
        <v>16</v>
      </c>
      <c r="B30" s="229" t="s">
        <v>1053</v>
      </c>
      <c r="C30" s="734">
        <v>7130211158</v>
      </c>
      <c r="D30" s="135" t="s">
        <v>456</v>
      </c>
      <c r="E30" s="135">
        <v>1</v>
      </c>
      <c r="F30" s="137">
        <f>VLOOKUP(C30,'SOR RATE'!A:D,4,0)</f>
        <v>130</v>
      </c>
      <c r="G30" s="137">
        <f t="shared" si="7"/>
        <v>130</v>
      </c>
      <c r="H30" s="135">
        <v>1</v>
      </c>
      <c r="I30" s="137">
        <f t="shared" si="8"/>
        <v>130</v>
      </c>
      <c r="J30" s="137">
        <f t="shared" si="9"/>
        <v>130</v>
      </c>
      <c r="K30" s="135">
        <v>3</v>
      </c>
      <c r="L30" s="137">
        <f t="shared" si="10"/>
        <v>130</v>
      </c>
      <c r="M30" s="137">
        <f t="shared" si="11"/>
        <v>390</v>
      </c>
      <c r="N30" s="135">
        <v>3</v>
      </c>
      <c r="O30" s="137">
        <f t="shared" si="12"/>
        <v>130</v>
      </c>
      <c r="P30" s="137">
        <f t="shared" si="13"/>
        <v>390</v>
      </c>
    </row>
    <row r="31" spans="1:16" ht="14.25">
      <c r="A31" s="183">
        <v>17</v>
      </c>
      <c r="B31" s="229" t="s">
        <v>457</v>
      </c>
      <c r="C31" s="734">
        <v>7130210809</v>
      </c>
      <c r="D31" s="135" t="s">
        <v>456</v>
      </c>
      <c r="E31" s="135">
        <v>1</v>
      </c>
      <c r="F31" s="137">
        <f>VLOOKUP(C31,'SOR RATE'!A:D,4,0)</f>
        <v>290</v>
      </c>
      <c r="G31" s="137">
        <f t="shared" si="7"/>
        <v>290</v>
      </c>
      <c r="H31" s="135">
        <v>1</v>
      </c>
      <c r="I31" s="137">
        <f t="shared" si="8"/>
        <v>290</v>
      </c>
      <c r="J31" s="137">
        <f t="shared" si="9"/>
        <v>290</v>
      </c>
      <c r="K31" s="135">
        <v>3</v>
      </c>
      <c r="L31" s="137">
        <f t="shared" si="10"/>
        <v>290</v>
      </c>
      <c r="M31" s="137">
        <f t="shared" si="11"/>
        <v>870</v>
      </c>
      <c r="N31" s="135">
        <v>3</v>
      </c>
      <c r="O31" s="137">
        <f t="shared" si="12"/>
        <v>290</v>
      </c>
      <c r="P31" s="137">
        <f t="shared" si="13"/>
        <v>870</v>
      </c>
    </row>
    <row r="32" spans="1:16" ht="17.25" customHeight="1">
      <c r="A32" s="135">
        <v>18</v>
      </c>
      <c r="B32" s="134" t="s">
        <v>781</v>
      </c>
      <c r="C32" s="734">
        <v>7130840029</v>
      </c>
      <c r="D32" s="135" t="s">
        <v>1553</v>
      </c>
      <c r="E32" s="135">
        <v>3</v>
      </c>
      <c r="F32" s="137">
        <f>VLOOKUP(C32,'SOR RATE'!A:D,4,0)</f>
        <v>425</v>
      </c>
      <c r="G32" s="137">
        <f t="shared" si="7"/>
        <v>1275</v>
      </c>
      <c r="H32" s="135">
        <v>3</v>
      </c>
      <c r="I32" s="137">
        <f t="shared" si="8"/>
        <v>425</v>
      </c>
      <c r="J32" s="137">
        <f t="shared" si="9"/>
        <v>1275</v>
      </c>
      <c r="K32" s="135">
        <v>3</v>
      </c>
      <c r="L32" s="137">
        <f t="shared" si="10"/>
        <v>425</v>
      </c>
      <c r="M32" s="137">
        <f t="shared" si="11"/>
        <v>1275</v>
      </c>
      <c r="N32" s="135">
        <v>3</v>
      </c>
      <c r="O32" s="137">
        <f t="shared" si="12"/>
        <v>425</v>
      </c>
      <c r="P32" s="137">
        <f t="shared" si="13"/>
        <v>1275</v>
      </c>
    </row>
    <row r="33" spans="1:16" ht="15">
      <c r="A33" s="1270">
        <v>19</v>
      </c>
      <c r="B33" s="229" t="s">
        <v>1359</v>
      </c>
      <c r="C33" s="303"/>
      <c r="D33" s="135" t="s">
        <v>458</v>
      </c>
      <c r="E33" s="22">
        <v>14</v>
      </c>
      <c r="F33" s="137"/>
      <c r="G33" s="137"/>
      <c r="H33" s="22">
        <v>14</v>
      </c>
      <c r="I33" s="137"/>
      <c r="J33" s="137"/>
      <c r="K33" s="22">
        <v>14</v>
      </c>
      <c r="L33" s="137"/>
      <c r="M33" s="137"/>
      <c r="N33" s="22">
        <v>14</v>
      </c>
      <c r="O33" s="137"/>
      <c r="P33" s="137"/>
    </row>
    <row r="34" spans="1:16" ht="14.25">
      <c r="A34" s="1271"/>
      <c r="B34" s="774" t="s">
        <v>438</v>
      </c>
      <c r="C34" s="734">
        <v>7130620609</v>
      </c>
      <c r="D34" s="141" t="s">
        <v>1369</v>
      </c>
      <c r="E34" s="135">
        <v>1</v>
      </c>
      <c r="F34" s="137">
        <f>VLOOKUP(C34,'SOR RATE'!A:D,4,0)</f>
        <v>64</v>
      </c>
      <c r="G34" s="137">
        <f>F34*E34</f>
        <v>64</v>
      </c>
      <c r="H34" s="135">
        <v>1</v>
      </c>
      <c r="I34" s="137">
        <f t="shared" si="8"/>
        <v>64</v>
      </c>
      <c r="J34" s="137">
        <f>I34*H34</f>
        <v>64</v>
      </c>
      <c r="K34" s="135">
        <v>1</v>
      </c>
      <c r="L34" s="137">
        <f t="shared" si="10"/>
        <v>64</v>
      </c>
      <c r="M34" s="137">
        <f>L34*K34</f>
        <v>64</v>
      </c>
      <c r="N34" s="135">
        <v>1</v>
      </c>
      <c r="O34" s="137">
        <f>+I34</f>
        <v>64</v>
      </c>
      <c r="P34" s="137">
        <f>O34*N34</f>
        <v>64</v>
      </c>
    </row>
    <row r="35" spans="1:16" ht="14.25">
      <c r="A35" s="1271"/>
      <c r="B35" s="774" t="s">
        <v>1336</v>
      </c>
      <c r="C35" s="734">
        <v>7130620614</v>
      </c>
      <c r="D35" s="141" t="s">
        <v>1369</v>
      </c>
      <c r="E35" s="135">
        <v>4</v>
      </c>
      <c r="F35" s="137">
        <f>VLOOKUP(C35,'SOR RATE'!A:D,4,0)</f>
        <v>63</v>
      </c>
      <c r="G35" s="137">
        <f>F35*E35</f>
        <v>252</v>
      </c>
      <c r="H35" s="135">
        <v>4</v>
      </c>
      <c r="I35" s="137">
        <f t="shared" si="8"/>
        <v>63</v>
      </c>
      <c r="J35" s="137">
        <f>I35*H35</f>
        <v>252</v>
      </c>
      <c r="K35" s="135">
        <v>4</v>
      </c>
      <c r="L35" s="137">
        <f t="shared" si="10"/>
        <v>63</v>
      </c>
      <c r="M35" s="137">
        <f>L35*K35</f>
        <v>252</v>
      </c>
      <c r="N35" s="135">
        <v>4</v>
      </c>
      <c r="O35" s="137">
        <f>+I35</f>
        <v>63</v>
      </c>
      <c r="P35" s="137">
        <f>O35*N35</f>
        <v>252</v>
      </c>
    </row>
    <row r="36" spans="1:16" ht="14.25">
      <c r="A36" s="1271"/>
      <c r="B36" s="774" t="s">
        <v>1338</v>
      </c>
      <c r="C36" s="734">
        <v>7130620625</v>
      </c>
      <c r="D36" s="141" t="s">
        <v>1369</v>
      </c>
      <c r="E36" s="135">
        <v>4</v>
      </c>
      <c r="F36" s="137">
        <f>VLOOKUP(C36,'SOR RATE'!A:D,4,0)</f>
        <v>62</v>
      </c>
      <c r="G36" s="137">
        <f>F36*E36</f>
        <v>248</v>
      </c>
      <c r="H36" s="135">
        <v>4</v>
      </c>
      <c r="I36" s="137">
        <f t="shared" si="8"/>
        <v>62</v>
      </c>
      <c r="J36" s="137">
        <f>I36*H36</f>
        <v>248</v>
      </c>
      <c r="K36" s="135">
        <v>4</v>
      </c>
      <c r="L36" s="137">
        <f t="shared" si="10"/>
        <v>62</v>
      </c>
      <c r="M36" s="137">
        <f>L36*K36</f>
        <v>248</v>
      </c>
      <c r="N36" s="135">
        <v>4</v>
      </c>
      <c r="O36" s="137">
        <f>+I36</f>
        <v>62</v>
      </c>
      <c r="P36" s="137">
        <f>O36*N36</f>
        <v>248</v>
      </c>
    </row>
    <row r="37" spans="1:16" ht="14.25">
      <c r="A37" s="1272"/>
      <c r="B37" s="774" t="s">
        <v>1345</v>
      </c>
      <c r="C37" s="734">
        <v>7130620631</v>
      </c>
      <c r="D37" s="141" t="s">
        <v>1369</v>
      </c>
      <c r="E37" s="135">
        <v>5</v>
      </c>
      <c r="F37" s="137">
        <f>VLOOKUP(C37,'SOR RATE'!A:D,4,0)</f>
        <v>62</v>
      </c>
      <c r="G37" s="137">
        <f>F37*E37</f>
        <v>310</v>
      </c>
      <c r="H37" s="135">
        <v>5</v>
      </c>
      <c r="I37" s="137">
        <f t="shared" si="8"/>
        <v>62</v>
      </c>
      <c r="J37" s="137">
        <f>I37*H37</f>
        <v>310</v>
      </c>
      <c r="K37" s="135">
        <v>5</v>
      </c>
      <c r="L37" s="137">
        <f t="shared" si="10"/>
        <v>62</v>
      </c>
      <c r="M37" s="137">
        <f>L37*K37</f>
        <v>310</v>
      </c>
      <c r="N37" s="135">
        <v>5</v>
      </c>
      <c r="O37" s="137">
        <f>+I37</f>
        <v>62</v>
      </c>
      <c r="P37" s="137">
        <f>O37*N37</f>
        <v>310</v>
      </c>
    </row>
    <row r="38" spans="1:16" ht="14.25">
      <c r="A38" s="183">
        <v>20</v>
      </c>
      <c r="B38" s="229" t="s">
        <v>1381</v>
      </c>
      <c r="C38" s="734">
        <v>7131920254</v>
      </c>
      <c r="D38" s="135" t="s">
        <v>452</v>
      </c>
      <c r="E38" s="135">
        <v>1</v>
      </c>
      <c r="F38" s="137">
        <f>VLOOKUP(C38,'SOR RATE'!A:D,4,0)</f>
        <v>1634</v>
      </c>
      <c r="G38" s="137">
        <f>F38*E38</f>
        <v>1634</v>
      </c>
      <c r="H38" s="252" t="s">
        <v>453</v>
      </c>
      <c r="I38" s="137"/>
      <c r="J38" s="137"/>
      <c r="K38" s="252" t="s">
        <v>453</v>
      </c>
      <c r="L38" s="137"/>
      <c r="M38" s="137"/>
      <c r="N38" s="252" t="s">
        <v>453</v>
      </c>
      <c r="O38" s="137"/>
      <c r="P38" s="137"/>
    </row>
    <row r="39" spans="1:16" ht="14.25">
      <c r="A39" s="183">
        <v>21</v>
      </c>
      <c r="B39" s="184" t="s">
        <v>1382</v>
      </c>
      <c r="C39" s="142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4"/>
    </row>
    <row r="40" spans="1:22" ht="14.25">
      <c r="A40" s="183" t="s">
        <v>442</v>
      </c>
      <c r="B40" s="258" t="s">
        <v>1383</v>
      </c>
      <c r="C40" s="733">
        <v>7130311084</v>
      </c>
      <c r="D40" s="135" t="s">
        <v>1368</v>
      </c>
      <c r="E40" s="135">
        <v>30</v>
      </c>
      <c r="F40" s="137">
        <f>VLOOKUP(C40,'SOR RATE'!A:D,4,0)/1000</f>
        <v>99.916</v>
      </c>
      <c r="G40" s="137">
        <f>F40*E40</f>
        <v>2997.48</v>
      </c>
      <c r="H40" s="252" t="s">
        <v>453</v>
      </c>
      <c r="I40" s="137"/>
      <c r="J40" s="137"/>
      <c r="K40" s="252"/>
      <c r="L40" s="137"/>
      <c r="M40" s="137"/>
      <c r="N40" s="252"/>
      <c r="O40" s="137"/>
      <c r="P40" s="137"/>
      <c r="R40" s="739"/>
      <c r="S40" s="739"/>
      <c r="T40" s="739"/>
      <c r="U40" s="739"/>
      <c r="V40" s="739"/>
    </row>
    <row r="41" spans="1:16" ht="14.25">
      <c r="A41" s="183" t="s">
        <v>460</v>
      </c>
      <c r="B41" s="229" t="s">
        <v>1384</v>
      </c>
      <c r="C41" s="734">
        <v>7130311054</v>
      </c>
      <c r="D41" s="135" t="s">
        <v>1368</v>
      </c>
      <c r="E41" s="252" t="s">
        <v>453</v>
      </c>
      <c r="F41" s="137"/>
      <c r="G41" s="137"/>
      <c r="H41" s="135">
        <v>30</v>
      </c>
      <c r="I41" s="137">
        <f>VLOOKUP(C41,'SOR RATE'!A:D,4,0)/1000</f>
        <v>213.718</v>
      </c>
      <c r="J41" s="137">
        <f>I41*H41</f>
        <v>6411.54</v>
      </c>
      <c r="K41" s="135">
        <v>30</v>
      </c>
      <c r="L41" s="137">
        <f>+I41</f>
        <v>213.718</v>
      </c>
      <c r="M41" s="137">
        <f>L41*K41</f>
        <v>6411.54</v>
      </c>
      <c r="N41" s="135"/>
      <c r="O41" s="137"/>
      <c r="P41" s="137"/>
    </row>
    <row r="42" spans="1:16" ht="14.25">
      <c r="A42" s="183" t="s">
        <v>131</v>
      </c>
      <c r="B42" s="229" t="s">
        <v>1385</v>
      </c>
      <c r="C42" s="734">
        <v>7130311057</v>
      </c>
      <c r="D42" s="135" t="s">
        <v>1368</v>
      </c>
      <c r="E42" s="252" t="s">
        <v>453</v>
      </c>
      <c r="F42" s="137"/>
      <c r="G42" s="137"/>
      <c r="H42" s="252"/>
      <c r="I42" s="137"/>
      <c r="J42" s="137"/>
      <c r="K42" s="135">
        <v>10</v>
      </c>
      <c r="L42" s="137">
        <f>VLOOKUP(C42,'SOR RATE'!A:D,4,0)/1000</f>
        <v>412.459</v>
      </c>
      <c r="M42" s="137">
        <f>L42*K42</f>
        <v>4124.59</v>
      </c>
      <c r="N42" s="135">
        <v>30</v>
      </c>
      <c r="O42" s="137">
        <f>+L42</f>
        <v>412.459</v>
      </c>
      <c r="P42" s="137">
        <f>O42*N42</f>
        <v>12373.77</v>
      </c>
    </row>
    <row r="43" spans="1:16" ht="14.25">
      <c r="A43" s="183" t="s">
        <v>132</v>
      </c>
      <c r="B43" s="229" t="s">
        <v>1386</v>
      </c>
      <c r="C43" s="734">
        <v>7130311061</v>
      </c>
      <c r="D43" s="135" t="s">
        <v>1368</v>
      </c>
      <c r="E43" s="135"/>
      <c r="F43" s="137"/>
      <c r="G43" s="137"/>
      <c r="H43" s="135"/>
      <c r="I43" s="137"/>
      <c r="J43" s="137"/>
      <c r="K43" s="135"/>
      <c r="L43" s="137"/>
      <c r="M43" s="137"/>
      <c r="N43" s="135">
        <v>10</v>
      </c>
      <c r="O43" s="137">
        <f>VLOOKUP(C43,'SOR RATE'!A:D,4,0)/1000</f>
        <v>784.944</v>
      </c>
      <c r="P43" s="137">
        <f>O43*N43</f>
        <v>7849.44</v>
      </c>
    </row>
    <row r="44" spans="1:16" ht="45" customHeight="1">
      <c r="A44" s="183">
        <v>22</v>
      </c>
      <c r="B44" s="184" t="s">
        <v>1387</v>
      </c>
      <c r="C44" s="142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</row>
    <row r="45" spans="1:16" ht="14.25">
      <c r="A45" s="135" t="s">
        <v>442</v>
      </c>
      <c r="B45" s="134" t="s">
        <v>1388</v>
      </c>
      <c r="C45" s="734">
        <v>7131950065</v>
      </c>
      <c r="D45" s="135" t="s">
        <v>1553</v>
      </c>
      <c r="E45" s="135"/>
      <c r="F45" s="137"/>
      <c r="G45" s="137"/>
      <c r="H45" s="135">
        <v>1</v>
      </c>
      <c r="I45" s="137">
        <f>VLOOKUP(C45,'SOR RATE'!A:D,4,0)</f>
        <v>13758</v>
      </c>
      <c r="J45" s="137">
        <f>I45*H45</f>
        <v>13758</v>
      </c>
      <c r="K45" s="252" t="s">
        <v>453</v>
      </c>
      <c r="L45" s="137"/>
      <c r="M45" s="137"/>
      <c r="N45" s="252" t="s">
        <v>453</v>
      </c>
      <c r="O45" s="137"/>
      <c r="P45" s="137"/>
    </row>
    <row r="46" spans="1:16" ht="14.25">
      <c r="A46" s="135" t="s">
        <v>460</v>
      </c>
      <c r="B46" s="134" t="s">
        <v>1389</v>
      </c>
      <c r="C46" s="734">
        <v>7131950105</v>
      </c>
      <c r="D46" s="135" t="s">
        <v>1553</v>
      </c>
      <c r="E46" s="135"/>
      <c r="F46" s="137"/>
      <c r="G46" s="137"/>
      <c r="H46" s="135"/>
      <c r="I46" s="137"/>
      <c r="J46" s="223"/>
      <c r="K46" s="135">
        <v>1</v>
      </c>
      <c r="L46" s="137">
        <f>VLOOKUP(C46,'SOR RATE'!A:D,4,0)</f>
        <v>17198</v>
      </c>
      <c r="M46" s="137">
        <f>L46*K46</f>
        <v>17198</v>
      </c>
      <c r="N46" s="135"/>
      <c r="O46" s="137"/>
      <c r="P46" s="137"/>
    </row>
    <row r="47" spans="1:16" ht="14.25">
      <c r="A47" s="135" t="s">
        <v>131</v>
      </c>
      <c r="B47" s="134" t="s">
        <v>1390</v>
      </c>
      <c r="C47" s="734">
        <v>7131950200</v>
      </c>
      <c r="D47" s="135" t="s">
        <v>1553</v>
      </c>
      <c r="E47" s="135"/>
      <c r="F47" s="137"/>
      <c r="G47" s="137"/>
      <c r="H47" s="135"/>
      <c r="I47" s="137"/>
      <c r="J47" s="223"/>
      <c r="K47" s="135"/>
      <c r="L47" s="137"/>
      <c r="M47" s="137"/>
      <c r="N47" s="135">
        <v>1</v>
      </c>
      <c r="O47" s="137">
        <f>VLOOKUP(C47,'SOR RATE'!A:D,4,0)</f>
        <v>34396</v>
      </c>
      <c r="P47" s="137">
        <f>O47*N47</f>
        <v>34396</v>
      </c>
    </row>
    <row r="48" spans="1:16" ht="16.5" customHeight="1">
      <c r="A48" s="135">
        <v>23</v>
      </c>
      <c r="B48" s="134" t="s">
        <v>1391</v>
      </c>
      <c r="C48" s="734">
        <v>7131930221</v>
      </c>
      <c r="D48" s="135" t="s">
        <v>1553</v>
      </c>
      <c r="E48" s="252" t="s">
        <v>453</v>
      </c>
      <c r="F48" s="137"/>
      <c r="G48" s="137"/>
      <c r="H48" s="252" t="s">
        <v>453</v>
      </c>
      <c r="I48" s="137"/>
      <c r="J48" s="137"/>
      <c r="K48" s="252">
        <v>1</v>
      </c>
      <c r="L48" s="137">
        <f>VLOOKUP(C48,'SOR RATE'!A:D,4,0)</f>
        <v>7750</v>
      </c>
      <c r="M48" s="137">
        <f>L48*K48</f>
        <v>7750</v>
      </c>
      <c r="N48" s="252">
        <v>1</v>
      </c>
      <c r="O48" s="137">
        <f>VLOOKUP(C48,'SOR RATE'!A:D,4,0)</f>
        <v>7750</v>
      </c>
      <c r="P48" s="137">
        <f>O48*N48</f>
        <v>7750</v>
      </c>
    </row>
    <row r="49" spans="1:18" ht="15">
      <c r="A49" s="22">
        <v>24</v>
      </c>
      <c r="B49" s="147" t="s">
        <v>1576</v>
      </c>
      <c r="C49" s="22"/>
      <c r="D49" s="22"/>
      <c r="E49" s="22"/>
      <c r="F49" s="22"/>
      <c r="G49" s="202">
        <f>SUM(G10:G48)</f>
        <v>73001.04379999998</v>
      </c>
      <c r="H49" s="202"/>
      <c r="I49" s="202"/>
      <c r="J49" s="202">
        <f>SUM(J10:J48)</f>
        <v>88539.10379999998</v>
      </c>
      <c r="K49" s="202"/>
      <c r="L49" s="202"/>
      <c r="M49" s="202">
        <f>SUM(M10:M48)</f>
        <v>104693.69379999998</v>
      </c>
      <c r="N49" s="202"/>
      <c r="O49" s="202"/>
      <c r="P49" s="202">
        <f>SUM(P10:P48)</f>
        <v>131578.7738</v>
      </c>
      <c r="Q49" s="103"/>
      <c r="R49" s="98"/>
    </row>
    <row r="50" spans="1:18" ht="17.25" customHeight="1">
      <c r="A50" s="227">
        <v>25</v>
      </c>
      <c r="B50" s="139" t="s">
        <v>1575</v>
      </c>
      <c r="C50" s="775"/>
      <c r="D50" s="776"/>
      <c r="E50" s="776"/>
      <c r="F50" s="260">
        <v>0.09</v>
      </c>
      <c r="G50" s="261">
        <f>G49*F50</f>
        <v>6570.093941999999</v>
      </c>
      <c r="H50" s="777"/>
      <c r="I50" s="260">
        <v>0.09</v>
      </c>
      <c r="J50" s="261">
        <f>J49*I50</f>
        <v>7968.519341999998</v>
      </c>
      <c r="K50" s="777"/>
      <c r="L50" s="260">
        <v>0.09</v>
      </c>
      <c r="M50" s="261">
        <f>M49*L50</f>
        <v>9422.432441999998</v>
      </c>
      <c r="N50" s="777"/>
      <c r="O50" s="260">
        <v>0.09</v>
      </c>
      <c r="P50" s="261">
        <f>P49*O50</f>
        <v>11842.089641999999</v>
      </c>
      <c r="Q50" s="103"/>
      <c r="R50" s="99"/>
    </row>
    <row r="51" spans="1:16" ht="28.5">
      <c r="A51" s="183">
        <v>26</v>
      </c>
      <c r="B51" s="156" t="s">
        <v>1372</v>
      </c>
      <c r="C51" s="141"/>
      <c r="D51" s="135" t="s">
        <v>454</v>
      </c>
      <c r="E51" s="135">
        <v>2.1</v>
      </c>
      <c r="F51" s="137">
        <f>1664*1.27*1.0891*1.086275*1.1112*1.0685</f>
        <v>2968.460981603261</v>
      </c>
      <c r="G51" s="137">
        <f>F51*E51</f>
        <v>6233.768061366849</v>
      </c>
      <c r="H51" s="135">
        <f>+E51</f>
        <v>2.1</v>
      </c>
      <c r="I51" s="137">
        <f>+F51</f>
        <v>2968.460981603261</v>
      </c>
      <c r="J51" s="137">
        <f>I51*H51</f>
        <v>6233.768061366849</v>
      </c>
      <c r="K51" s="226">
        <f>+H51</f>
        <v>2.1</v>
      </c>
      <c r="L51" s="137">
        <f>+I51</f>
        <v>2968.460981603261</v>
      </c>
      <c r="M51" s="137">
        <f>L51*K51</f>
        <v>6233.768061366849</v>
      </c>
      <c r="N51" s="226">
        <f>+K51</f>
        <v>2.1</v>
      </c>
      <c r="O51" s="137">
        <f>+L51</f>
        <v>2968.460981603261</v>
      </c>
      <c r="P51" s="137">
        <f>O51*N51</f>
        <v>6233.768061366849</v>
      </c>
    </row>
    <row r="52" spans="1:16" ht="28.5">
      <c r="A52" s="183">
        <v>27</v>
      </c>
      <c r="B52" s="156" t="s">
        <v>1392</v>
      </c>
      <c r="C52" s="141"/>
      <c r="D52" s="135" t="s">
        <v>452</v>
      </c>
      <c r="E52" s="135">
        <v>1</v>
      </c>
      <c r="F52" s="137">
        <f>3075*1.27*1.0891*1.086275*1.1112*1.0685</f>
        <v>5485.587450979585</v>
      </c>
      <c r="G52" s="137">
        <f>F52*E52</f>
        <v>5485.587450979585</v>
      </c>
      <c r="H52" s="135">
        <v>1</v>
      </c>
      <c r="I52" s="137">
        <f>+F52</f>
        <v>5485.587450979585</v>
      </c>
      <c r="J52" s="137">
        <f>I52*H52</f>
        <v>5485.587450979585</v>
      </c>
      <c r="K52" s="226">
        <v>1</v>
      </c>
      <c r="L52" s="137">
        <f>+F52</f>
        <v>5485.587450979585</v>
      </c>
      <c r="M52" s="137">
        <f>L52*K52</f>
        <v>5485.587450979585</v>
      </c>
      <c r="N52" s="226">
        <v>1</v>
      </c>
      <c r="O52" s="137">
        <f>+F52</f>
        <v>5485.587450979585</v>
      </c>
      <c r="P52" s="137">
        <f>O52*N52</f>
        <v>5485.587450979585</v>
      </c>
    </row>
    <row r="53" spans="1:17" ht="15">
      <c r="A53" s="183">
        <v>28</v>
      </c>
      <c r="B53" s="229" t="s">
        <v>542</v>
      </c>
      <c r="C53" s="135"/>
      <c r="D53" s="135"/>
      <c r="E53" s="135"/>
      <c r="F53" s="135"/>
      <c r="G53" s="137">
        <v>7965.45</v>
      </c>
      <c r="H53" s="135"/>
      <c r="I53" s="135"/>
      <c r="J53" s="137">
        <v>8367.24</v>
      </c>
      <c r="K53" s="135"/>
      <c r="L53" s="135"/>
      <c r="M53" s="137">
        <f>+J53</f>
        <v>8367.24</v>
      </c>
      <c r="N53" s="135"/>
      <c r="O53" s="135"/>
      <c r="P53" s="137">
        <v>10382.45</v>
      </c>
      <c r="Q53" s="432"/>
    </row>
    <row r="54" spans="1:16" ht="57">
      <c r="A54" s="183">
        <v>29</v>
      </c>
      <c r="B54" s="229" t="s">
        <v>1055</v>
      </c>
      <c r="C54" s="135"/>
      <c r="D54" s="135"/>
      <c r="E54" s="135"/>
      <c r="F54" s="135"/>
      <c r="G54" s="137">
        <f>1.1*1.1*2363*1.2*1.1*1.1797*1.1402*0.9368</f>
        <v>4755.7883787147575</v>
      </c>
      <c r="H54" s="135"/>
      <c r="I54" s="135"/>
      <c r="J54" s="137">
        <f>1.1*1.1*2616*1.2*1.1*1.1797*1.1402*0.9368</f>
        <v>5264.9777396182</v>
      </c>
      <c r="K54" s="135"/>
      <c r="L54" s="135"/>
      <c r="M54" s="137">
        <f>+J54</f>
        <v>5264.9777396182</v>
      </c>
      <c r="N54" s="135"/>
      <c r="O54" s="135"/>
      <c r="P54" s="137">
        <f>+J54</f>
        <v>5264.9777396182</v>
      </c>
    </row>
    <row r="55" spans="1:17" ht="15">
      <c r="A55" s="192">
        <v>30</v>
      </c>
      <c r="B55" s="147" t="s">
        <v>1577</v>
      </c>
      <c r="C55" s="135"/>
      <c r="D55" s="135"/>
      <c r="E55" s="135"/>
      <c r="F55" s="135"/>
      <c r="G55" s="202">
        <f>G49+G50+G51+G52+G53+G54</f>
        <v>104011.73163306116</v>
      </c>
      <c r="H55" s="22"/>
      <c r="I55" s="22"/>
      <c r="J55" s="202">
        <f>J49+J50+J51+J52+J53+J54</f>
        <v>121859.19639396462</v>
      </c>
      <c r="K55" s="22"/>
      <c r="L55" s="22"/>
      <c r="M55" s="202">
        <f>M49+M50+M51+M52+M53+M54</f>
        <v>139467.69949396458</v>
      </c>
      <c r="N55" s="22"/>
      <c r="O55" s="22"/>
      <c r="P55" s="202">
        <f>P49+P50+P51+P52+P53+P54</f>
        <v>170787.64669396466</v>
      </c>
      <c r="Q55" s="104"/>
    </row>
    <row r="56" spans="1:17" ht="42.75">
      <c r="A56" s="183">
        <v>31</v>
      </c>
      <c r="B56" s="139" t="s">
        <v>1578</v>
      </c>
      <c r="C56" s="135"/>
      <c r="D56" s="135"/>
      <c r="E56" s="135"/>
      <c r="F56" s="135">
        <v>0.11</v>
      </c>
      <c r="G56" s="137">
        <f>G49*F56</f>
        <v>8030.114817999998</v>
      </c>
      <c r="H56" s="135"/>
      <c r="I56" s="135">
        <v>0.11</v>
      </c>
      <c r="J56" s="137">
        <f>J49*I56</f>
        <v>9739.301417999997</v>
      </c>
      <c r="K56" s="135"/>
      <c r="L56" s="135">
        <v>0.11</v>
      </c>
      <c r="M56" s="137">
        <f>M49*L56</f>
        <v>11516.306317999997</v>
      </c>
      <c r="N56" s="135"/>
      <c r="O56" s="135">
        <v>0.11</v>
      </c>
      <c r="P56" s="137">
        <f>P49*O56</f>
        <v>14473.665117999999</v>
      </c>
      <c r="Q56" s="104"/>
    </row>
    <row r="57" spans="1:16" s="28" customFormat="1" ht="28.5">
      <c r="A57" s="183">
        <v>32</v>
      </c>
      <c r="B57" s="134" t="s">
        <v>1395</v>
      </c>
      <c r="C57" s="135"/>
      <c r="D57" s="135"/>
      <c r="E57" s="135"/>
      <c r="F57" s="135"/>
      <c r="G57" s="137">
        <f>G55+G56</f>
        <v>112041.84645106117</v>
      </c>
      <c r="H57" s="137"/>
      <c r="I57" s="137"/>
      <c r="J57" s="137">
        <f>J55+J56</f>
        <v>131598.49781196463</v>
      </c>
      <c r="K57" s="137"/>
      <c r="L57" s="137"/>
      <c r="M57" s="137">
        <f>M55+M56</f>
        <v>150984.00581196457</v>
      </c>
      <c r="N57" s="137"/>
      <c r="O57" s="137"/>
      <c r="P57" s="137">
        <f>P55+P56</f>
        <v>185261.31181196467</v>
      </c>
    </row>
    <row r="58" spans="1:16" s="73" customFormat="1" ht="30">
      <c r="A58" s="22">
        <v>33</v>
      </c>
      <c r="B58" s="194" t="s">
        <v>1488</v>
      </c>
      <c r="C58" s="153"/>
      <c r="D58" s="153"/>
      <c r="E58" s="153"/>
      <c r="F58" s="153"/>
      <c r="G58" s="202">
        <f>ROUND(G57,0)</f>
        <v>112042</v>
      </c>
      <c r="H58" s="202"/>
      <c r="I58" s="202"/>
      <c r="J58" s="202">
        <f>ROUND(J57,0)</f>
        <v>131598</v>
      </c>
      <c r="K58" s="202"/>
      <c r="L58" s="202"/>
      <c r="M58" s="202">
        <f>ROUND(M57,0)</f>
        <v>150984</v>
      </c>
      <c r="N58" s="202"/>
      <c r="O58" s="202"/>
      <c r="P58" s="202">
        <f>ROUND(P57,0)</f>
        <v>185261</v>
      </c>
    </row>
    <row r="65" spans="1:16" ht="15.75">
      <c r="A65" s="89"/>
      <c r="B65" s="750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ht="12.75">
      <c r="A66" s="89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ht="14.25">
      <c r="A67" s="81"/>
      <c r="B67" s="80"/>
      <c r="C67" s="778"/>
      <c r="D67" s="779"/>
      <c r="E67" s="779"/>
      <c r="F67" s="60"/>
      <c r="G67" s="60"/>
      <c r="H67" s="780"/>
      <c r="I67" s="60"/>
      <c r="J67" s="60"/>
      <c r="K67" s="780"/>
      <c r="L67" s="60"/>
      <c r="M67" s="60"/>
      <c r="N67" s="780"/>
      <c r="O67" s="60"/>
      <c r="P67" s="60"/>
    </row>
    <row r="68" spans="1:16" ht="12.75">
      <c r="A68" s="89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74" spans="2:3" ht="15.75">
      <c r="B74" s="1145" t="s">
        <v>549</v>
      </c>
      <c r="C74" s="1145"/>
    </row>
    <row r="76" spans="2:4" ht="14.25">
      <c r="B76" s="313" t="s">
        <v>854</v>
      </c>
      <c r="C76" s="259">
        <v>7130820155</v>
      </c>
      <c r="D76" s="260" t="s">
        <v>452</v>
      </c>
    </row>
  </sheetData>
  <sheetProtection/>
  <mergeCells count="16">
    <mergeCell ref="B74:C74"/>
    <mergeCell ref="D1:J1"/>
    <mergeCell ref="B3:M3"/>
    <mergeCell ref="N5:O5"/>
    <mergeCell ref="E7:G7"/>
    <mergeCell ref="H7:J7"/>
    <mergeCell ref="K7:M7"/>
    <mergeCell ref="A33:A37"/>
    <mergeCell ref="N7:P7"/>
    <mergeCell ref="A18:A20"/>
    <mergeCell ref="A21:A22"/>
    <mergeCell ref="A26:A28"/>
    <mergeCell ref="A7:A8"/>
    <mergeCell ref="B7:B8"/>
    <mergeCell ref="C7:C8"/>
    <mergeCell ref="D7:D8"/>
  </mergeCells>
  <printOptions/>
  <pageMargins left="0.59" right="0.12" top="0.55" bottom="0.58" header="0.19" footer="0.15"/>
  <pageSetup horizontalDpi="600" verticalDpi="6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AA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421875" style="36" customWidth="1"/>
    <col min="2" max="2" width="27.00390625" style="1" customWidth="1"/>
    <col min="3" max="3" width="12.421875" style="1" bestFit="1" customWidth="1"/>
    <col min="4" max="4" width="5.140625" style="1" bestFit="1" customWidth="1"/>
    <col min="5" max="5" width="5.00390625" style="1" bestFit="1" customWidth="1"/>
    <col min="6" max="6" width="10.7109375" style="1" bestFit="1" customWidth="1"/>
    <col min="7" max="7" width="9.57421875" style="1" bestFit="1" customWidth="1"/>
    <col min="8" max="8" width="5.00390625" style="1" bestFit="1" customWidth="1"/>
    <col min="9" max="10" width="9.57421875" style="1" bestFit="1" customWidth="1"/>
    <col min="11" max="11" width="5.00390625" style="1" bestFit="1" customWidth="1"/>
    <col min="12" max="13" width="9.57421875" style="1" bestFit="1" customWidth="1"/>
    <col min="14" max="14" width="5.00390625" style="1" bestFit="1" customWidth="1"/>
    <col min="15" max="16" width="9.57421875" style="1" bestFit="1" customWidth="1"/>
    <col min="17" max="17" width="5.00390625" style="1" bestFit="1" customWidth="1"/>
    <col min="18" max="19" width="9.57421875" style="1" bestFit="1" customWidth="1"/>
    <col min="20" max="20" width="11.421875" style="1" customWidth="1"/>
    <col min="21" max="21" width="11.57421875" style="1" customWidth="1"/>
    <col min="22" max="16384" width="9.140625" style="1" customWidth="1"/>
  </cols>
  <sheetData>
    <row r="1" spans="1:19" ht="18" customHeight="1">
      <c r="A1" s="781"/>
      <c r="B1" s="782"/>
      <c r="C1" s="782"/>
      <c r="D1" s="782"/>
      <c r="E1" s="1284" t="s">
        <v>200</v>
      </c>
      <c r="F1" s="1284"/>
      <c r="G1" s="1284"/>
      <c r="H1" s="1284"/>
      <c r="I1" s="1284"/>
      <c r="J1" s="1284"/>
      <c r="K1" s="782"/>
      <c r="L1" s="782"/>
      <c r="M1" s="782"/>
      <c r="N1" s="782"/>
      <c r="O1" s="782"/>
      <c r="P1" s="782"/>
      <c r="Q1" s="782"/>
      <c r="R1" s="782"/>
      <c r="S1" s="782"/>
    </row>
    <row r="2" spans="1:19" ht="12.75" customHeight="1">
      <c r="A2" s="781"/>
      <c r="B2" s="782"/>
      <c r="C2" s="782"/>
      <c r="D2" s="782"/>
      <c r="E2" s="783"/>
      <c r="F2" s="783"/>
      <c r="G2" s="783"/>
      <c r="H2" s="783"/>
      <c r="I2" s="783"/>
      <c r="J2" s="783"/>
      <c r="K2" s="782"/>
      <c r="L2" s="782"/>
      <c r="M2" s="782"/>
      <c r="N2" s="782"/>
      <c r="O2" s="782"/>
      <c r="P2" s="782"/>
      <c r="Q2" s="782"/>
      <c r="R2" s="782"/>
      <c r="S2" s="782"/>
    </row>
    <row r="3" spans="2:19" ht="15.75" customHeight="1">
      <c r="B3" s="784"/>
      <c r="C3" s="784"/>
      <c r="D3" s="1285" t="s">
        <v>201</v>
      </c>
      <c r="E3" s="1285"/>
      <c r="F3" s="1285"/>
      <c r="G3" s="1285"/>
      <c r="H3" s="1285"/>
      <c r="I3" s="1285"/>
      <c r="J3" s="1285"/>
      <c r="K3" s="1285"/>
      <c r="L3" s="1285"/>
      <c r="M3" s="1285"/>
      <c r="N3" s="784"/>
      <c r="O3" s="784"/>
      <c r="P3" s="784"/>
      <c r="Q3" s="784"/>
      <c r="R3" s="1073" t="s">
        <v>551</v>
      </c>
      <c r="S3" s="784"/>
    </row>
    <row r="4" spans="1:19" ht="14.25">
      <c r="A4" s="785"/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2"/>
      <c r="R4" s="782"/>
      <c r="S4" s="782"/>
    </row>
    <row r="5" spans="1:19" ht="15" customHeight="1">
      <c r="A5" s="1231" t="s">
        <v>1335</v>
      </c>
      <c r="B5" s="1231" t="s">
        <v>449</v>
      </c>
      <c r="C5" s="1274" t="s">
        <v>53</v>
      </c>
      <c r="D5" s="1231" t="s">
        <v>450</v>
      </c>
      <c r="E5" s="1278" t="s">
        <v>1300</v>
      </c>
      <c r="F5" s="1278"/>
      <c r="G5" s="1278"/>
      <c r="H5" s="1278" t="s">
        <v>1301</v>
      </c>
      <c r="I5" s="1278"/>
      <c r="J5" s="1278"/>
      <c r="K5" s="1278" t="s">
        <v>1302</v>
      </c>
      <c r="L5" s="1278"/>
      <c r="M5" s="1278"/>
      <c r="N5" s="1278" t="s">
        <v>1303</v>
      </c>
      <c r="O5" s="1278"/>
      <c r="P5" s="1278"/>
      <c r="Q5" s="1279" t="s">
        <v>202</v>
      </c>
      <c r="R5" s="1280"/>
      <c r="S5" s="1281"/>
    </row>
    <row r="6" spans="1:19" ht="15.75">
      <c r="A6" s="1232"/>
      <c r="B6" s="1232"/>
      <c r="C6" s="1275"/>
      <c r="D6" s="1232"/>
      <c r="E6" s="192" t="s">
        <v>1315</v>
      </c>
      <c r="F6" s="17" t="s">
        <v>799</v>
      </c>
      <c r="G6" s="22" t="s">
        <v>800</v>
      </c>
      <c r="H6" s="192" t="s">
        <v>1315</v>
      </c>
      <c r="I6" s="17" t="s">
        <v>799</v>
      </c>
      <c r="J6" s="22" t="s">
        <v>800</v>
      </c>
      <c r="K6" s="192" t="s">
        <v>1315</v>
      </c>
      <c r="L6" s="17" t="s">
        <v>799</v>
      </c>
      <c r="M6" s="22" t="s">
        <v>800</v>
      </c>
      <c r="N6" s="192" t="s">
        <v>1315</v>
      </c>
      <c r="O6" s="17" t="s">
        <v>799</v>
      </c>
      <c r="P6" s="22" t="s">
        <v>800</v>
      </c>
      <c r="Q6" s="192" t="s">
        <v>1315</v>
      </c>
      <c r="R6" s="17" t="s">
        <v>799</v>
      </c>
      <c r="S6" s="22" t="s">
        <v>800</v>
      </c>
    </row>
    <row r="7" spans="1:19" ht="15.75">
      <c r="A7" s="22">
        <v>1</v>
      </c>
      <c r="B7" s="22">
        <v>2</v>
      </c>
      <c r="C7" s="113" t="s">
        <v>1550</v>
      </c>
      <c r="D7" s="22">
        <v>4</v>
      </c>
      <c r="E7" s="192">
        <v>5</v>
      </c>
      <c r="F7" s="17">
        <v>6</v>
      </c>
      <c r="G7" s="22">
        <v>7</v>
      </c>
      <c r="H7" s="192">
        <v>8</v>
      </c>
      <c r="I7" s="17">
        <v>9</v>
      </c>
      <c r="J7" s="22">
        <v>10</v>
      </c>
      <c r="K7" s="192">
        <v>11</v>
      </c>
      <c r="L7" s="17">
        <v>12</v>
      </c>
      <c r="M7" s="22">
        <v>13</v>
      </c>
      <c r="N7" s="192">
        <v>14</v>
      </c>
      <c r="O7" s="17">
        <v>15</v>
      </c>
      <c r="P7" s="22">
        <v>16</v>
      </c>
      <c r="Q7" s="192">
        <v>17</v>
      </c>
      <c r="R7" s="17">
        <v>18</v>
      </c>
      <c r="S7" s="22">
        <v>19</v>
      </c>
    </row>
    <row r="8" spans="1:19" ht="14.25" customHeight="1">
      <c r="A8" s="1270">
        <v>1</v>
      </c>
      <c r="B8" s="151" t="s">
        <v>203</v>
      </c>
      <c r="C8" s="787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9"/>
    </row>
    <row r="9" spans="1:19" ht="14.25">
      <c r="A9" s="1271"/>
      <c r="B9" s="151" t="s">
        <v>204</v>
      </c>
      <c r="C9" s="135"/>
      <c r="D9" s="135" t="s">
        <v>452</v>
      </c>
      <c r="E9" s="135">
        <v>0</v>
      </c>
      <c r="F9" s="137">
        <v>0</v>
      </c>
      <c r="G9" s="137">
        <v>0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14.25">
      <c r="A10" s="1271"/>
      <c r="B10" s="151" t="s">
        <v>1388</v>
      </c>
      <c r="C10" s="135">
        <v>7131950065</v>
      </c>
      <c r="D10" s="135" t="s">
        <v>452</v>
      </c>
      <c r="E10" s="135"/>
      <c r="F10" s="135"/>
      <c r="G10" s="135"/>
      <c r="H10" s="135">
        <v>1</v>
      </c>
      <c r="I10" s="137">
        <f>VLOOKUP(C10,'SOR RATE'!A:D,4,0)</f>
        <v>13758</v>
      </c>
      <c r="J10" s="137">
        <f>H10*I10</f>
        <v>13758</v>
      </c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14.25">
      <c r="A11" s="1271"/>
      <c r="B11" s="151" t="s">
        <v>1389</v>
      </c>
      <c r="C11" s="135">
        <v>7131950105</v>
      </c>
      <c r="D11" s="135" t="s">
        <v>452</v>
      </c>
      <c r="E11" s="135"/>
      <c r="F11" s="135"/>
      <c r="G11" s="135"/>
      <c r="H11" s="135"/>
      <c r="I11" s="135"/>
      <c r="J11" s="135"/>
      <c r="K11" s="135">
        <v>1</v>
      </c>
      <c r="L11" s="137">
        <f>VLOOKUP(C11,'SOR RATE'!A:D,4,0)</f>
        <v>17198</v>
      </c>
      <c r="M11" s="137">
        <f>K11*L11</f>
        <v>17198</v>
      </c>
      <c r="N11" s="135"/>
      <c r="O11" s="135"/>
      <c r="P11" s="135"/>
      <c r="Q11" s="135"/>
      <c r="R11" s="135"/>
      <c r="S11" s="135"/>
    </row>
    <row r="12" spans="1:19" ht="14.25">
      <c r="A12" s="1271"/>
      <c r="B12" s="151" t="s">
        <v>1390</v>
      </c>
      <c r="C12" s="135">
        <v>7131950200</v>
      </c>
      <c r="D12" s="135" t="s">
        <v>452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>
        <v>1</v>
      </c>
      <c r="O12" s="137">
        <f>VLOOKUP(C12,'SOR RATE'!A:D,4,0)</f>
        <v>34396</v>
      </c>
      <c r="P12" s="137">
        <f>N12*O12</f>
        <v>34396</v>
      </c>
      <c r="Q12" s="135"/>
      <c r="R12" s="135"/>
      <c r="S12" s="135"/>
    </row>
    <row r="13" spans="1:19" ht="14.25">
      <c r="A13" s="1272"/>
      <c r="B13" s="151" t="s">
        <v>205</v>
      </c>
      <c r="C13" s="135">
        <v>7131950207</v>
      </c>
      <c r="D13" s="135" t="s">
        <v>452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>
        <v>1</v>
      </c>
      <c r="R13" s="137">
        <f>VLOOKUP(C13,'SOR RATE'!A:D,4,0)</f>
        <v>45861</v>
      </c>
      <c r="S13" s="137">
        <f>Q13*R13</f>
        <v>45861</v>
      </c>
    </row>
    <row r="14" spans="1:19" ht="17.25" customHeight="1">
      <c r="A14" s="1270">
        <v>2</v>
      </c>
      <c r="B14" s="134" t="s">
        <v>1591</v>
      </c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</row>
    <row r="15" spans="1:19" ht="14.25">
      <c r="A15" s="1271"/>
      <c r="B15" s="151" t="s">
        <v>1592</v>
      </c>
      <c r="C15" s="135">
        <v>7130311054</v>
      </c>
      <c r="D15" s="135" t="s">
        <v>1368</v>
      </c>
      <c r="E15" s="135">
        <v>30</v>
      </c>
      <c r="F15" s="137">
        <f>VLOOKUP(C15,'SOR RATE'!A:D,4,0)/1000</f>
        <v>213.718</v>
      </c>
      <c r="G15" s="137">
        <f>E15*F15</f>
        <v>6411.54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19" ht="14.25">
      <c r="A16" s="1271"/>
      <c r="B16" s="151" t="s">
        <v>1593</v>
      </c>
      <c r="C16" s="135">
        <v>7130311054</v>
      </c>
      <c r="D16" s="135" t="s">
        <v>1368</v>
      </c>
      <c r="E16" s="135"/>
      <c r="F16" s="135"/>
      <c r="G16" s="135"/>
      <c r="H16" s="135">
        <v>30</v>
      </c>
      <c r="I16" s="137">
        <f>+F15</f>
        <v>213.718</v>
      </c>
      <c r="J16" s="137">
        <f>H16*I16</f>
        <v>6411.54</v>
      </c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ht="14.25">
      <c r="A17" s="1271"/>
      <c r="B17" s="151" t="s">
        <v>1594</v>
      </c>
      <c r="C17" s="135">
        <v>7130311054</v>
      </c>
      <c r="D17" s="135" t="s">
        <v>1368</v>
      </c>
      <c r="E17" s="135"/>
      <c r="F17" s="135"/>
      <c r="G17" s="135"/>
      <c r="H17" s="135"/>
      <c r="I17" s="135"/>
      <c r="J17" s="135"/>
      <c r="K17" s="135">
        <v>30</v>
      </c>
      <c r="L17" s="137">
        <f>+I16</f>
        <v>213.718</v>
      </c>
      <c r="M17" s="137">
        <f>K17*L17</f>
        <v>6411.54</v>
      </c>
      <c r="N17" s="135"/>
      <c r="O17" s="135"/>
      <c r="P17" s="135"/>
      <c r="Q17" s="135"/>
      <c r="R17" s="135"/>
      <c r="S17" s="135"/>
    </row>
    <row r="18" spans="1:19" ht="14.25">
      <c r="A18" s="1271"/>
      <c r="B18" s="151" t="s">
        <v>1595</v>
      </c>
      <c r="C18" s="135">
        <v>7130311057</v>
      </c>
      <c r="D18" s="135" t="s">
        <v>1368</v>
      </c>
      <c r="E18" s="135"/>
      <c r="F18" s="135"/>
      <c r="G18" s="135"/>
      <c r="H18" s="135"/>
      <c r="I18" s="135"/>
      <c r="J18" s="135"/>
      <c r="K18" s="135">
        <v>10</v>
      </c>
      <c r="L18" s="137">
        <f>VLOOKUP(C18,'SOR RATE'!A:D,4,0)/1000</f>
        <v>412.459</v>
      </c>
      <c r="M18" s="137">
        <f>K18*L18</f>
        <v>4124.59</v>
      </c>
      <c r="N18" s="135"/>
      <c r="O18" s="135"/>
      <c r="P18" s="135"/>
      <c r="Q18" s="135"/>
      <c r="R18" s="135"/>
      <c r="S18" s="135"/>
    </row>
    <row r="19" spans="1:19" ht="14.25">
      <c r="A19" s="1271"/>
      <c r="B19" s="151" t="s">
        <v>384</v>
      </c>
      <c r="C19" s="135">
        <v>7130311057</v>
      </c>
      <c r="D19" s="135" t="s">
        <v>1368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>
        <v>30</v>
      </c>
      <c r="O19" s="137">
        <f>+L18</f>
        <v>412.459</v>
      </c>
      <c r="P19" s="137">
        <f>N19*O19</f>
        <v>12373.77</v>
      </c>
      <c r="Q19" s="135"/>
      <c r="R19" s="135"/>
      <c r="S19" s="135"/>
    </row>
    <row r="20" spans="1:19" ht="14.25">
      <c r="A20" s="1271"/>
      <c r="B20" s="151" t="s">
        <v>385</v>
      </c>
      <c r="C20" s="135">
        <v>7130311061</v>
      </c>
      <c r="D20" s="135" t="s">
        <v>1368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>
        <v>10</v>
      </c>
      <c r="O20" s="137">
        <f>VLOOKUP(C20,'SOR RATE'!A:D,4,0)/1000</f>
        <v>784.944</v>
      </c>
      <c r="P20" s="137">
        <f>N20*O20</f>
        <v>7849.44</v>
      </c>
      <c r="Q20" s="135"/>
      <c r="R20" s="135"/>
      <c r="S20" s="135"/>
    </row>
    <row r="21" spans="1:19" ht="14.25">
      <c r="A21" s="1271"/>
      <c r="B21" s="151" t="s">
        <v>386</v>
      </c>
      <c r="C21" s="135">
        <v>7130311057</v>
      </c>
      <c r="D21" s="135" t="s">
        <v>1368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>
        <v>30</v>
      </c>
      <c r="R21" s="137">
        <f>+L18</f>
        <v>412.459</v>
      </c>
      <c r="S21" s="137">
        <f>Q21*R21</f>
        <v>12373.77</v>
      </c>
    </row>
    <row r="22" spans="1:19" ht="14.25">
      <c r="A22" s="1272"/>
      <c r="B22" s="151" t="s">
        <v>387</v>
      </c>
      <c r="C22" s="135">
        <v>7130311061</v>
      </c>
      <c r="D22" s="135" t="s">
        <v>1368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>
        <v>10</v>
      </c>
      <c r="R22" s="137">
        <f>+O20</f>
        <v>784.944</v>
      </c>
      <c r="S22" s="137">
        <f>Q22*R22</f>
        <v>7849.44</v>
      </c>
    </row>
    <row r="23" spans="1:19" ht="42.75">
      <c r="A23" s="1270">
        <v>3</v>
      </c>
      <c r="B23" s="151" t="s">
        <v>388</v>
      </c>
      <c r="C23" s="142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</row>
    <row r="24" spans="1:19" ht="14.25">
      <c r="A24" s="1271"/>
      <c r="B24" s="151" t="s">
        <v>389</v>
      </c>
      <c r="C24" s="135">
        <v>7130641396</v>
      </c>
      <c r="D24" s="135" t="s">
        <v>1368</v>
      </c>
      <c r="E24" s="135">
        <v>9</v>
      </c>
      <c r="F24" s="137">
        <f>VLOOKUP(C24,'SOR RATE'!A:D,4,0)</f>
        <v>190</v>
      </c>
      <c r="G24" s="137">
        <f>E24*F24</f>
        <v>1710</v>
      </c>
      <c r="H24" s="135">
        <v>9</v>
      </c>
      <c r="I24" s="137">
        <f>+F24</f>
        <v>190</v>
      </c>
      <c r="J24" s="137">
        <f>H24*I24</f>
        <v>1710</v>
      </c>
      <c r="K24" s="135">
        <v>9</v>
      </c>
      <c r="L24" s="137">
        <f>+I24</f>
        <v>190</v>
      </c>
      <c r="M24" s="137">
        <f>K24*L24</f>
        <v>1710</v>
      </c>
      <c r="N24" s="135">
        <v>9</v>
      </c>
      <c r="O24" s="137">
        <f>+L24</f>
        <v>190</v>
      </c>
      <c r="P24" s="137">
        <f>N24*O24</f>
        <v>1710</v>
      </c>
      <c r="Q24" s="135">
        <v>9</v>
      </c>
      <c r="R24" s="137">
        <f>+O24</f>
        <v>190</v>
      </c>
      <c r="S24" s="137">
        <f>Q24*R24</f>
        <v>1710</v>
      </c>
    </row>
    <row r="25" spans="1:19" ht="14.25">
      <c r="A25" s="1272"/>
      <c r="B25" s="151" t="s">
        <v>390</v>
      </c>
      <c r="C25" s="135">
        <v>7130870043</v>
      </c>
      <c r="D25" s="135" t="s">
        <v>458</v>
      </c>
      <c r="E25" s="135">
        <v>15</v>
      </c>
      <c r="F25" s="137">
        <f>VLOOKUP(C25,'SOR RATE'!A:D,4,0)/1000</f>
        <v>55.094</v>
      </c>
      <c r="G25" s="137">
        <f>E25*F25</f>
        <v>826.41</v>
      </c>
      <c r="H25" s="135">
        <v>15</v>
      </c>
      <c r="I25" s="137">
        <f>+F25</f>
        <v>55.094</v>
      </c>
      <c r="J25" s="137">
        <f>H25*I25</f>
        <v>826.41</v>
      </c>
      <c r="K25" s="135">
        <v>15</v>
      </c>
      <c r="L25" s="137">
        <f>+I25</f>
        <v>55.094</v>
      </c>
      <c r="M25" s="137">
        <f>K25*L25</f>
        <v>826.41</v>
      </c>
      <c r="N25" s="135">
        <v>15</v>
      </c>
      <c r="O25" s="137">
        <f>+L25</f>
        <v>55.094</v>
      </c>
      <c r="P25" s="137">
        <f>N25*O25</f>
        <v>826.41</v>
      </c>
      <c r="Q25" s="135">
        <v>15</v>
      </c>
      <c r="R25" s="137">
        <f>+O25</f>
        <v>55.094</v>
      </c>
      <c r="S25" s="137">
        <f>Q25*R25</f>
        <v>826.41</v>
      </c>
    </row>
    <row r="26" spans="1:21" s="73" customFormat="1" ht="15">
      <c r="A26" s="22">
        <v>4</v>
      </c>
      <c r="B26" s="147" t="s">
        <v>1576</v>
      </c>
      <c r="C26" s="790"/>
      <c r="D26" s="22"/>
      <c r="E26" s="22"/>
      <c r="F26" s="22"/>
      <c r="G26" s="1082">
        <f>SUM(G9:G25)</f>
        <v>8947.95</v>
      </c>
      <c r="H26" s="22"/>
      <c r="I26" s="22"/>
      <c r="J26" s="1082">
        <f>SUM(J9:J25)</f>
        <v>22705.95</v>
      </c>
      <c r="K26" s="22"/>
      <c r="L26" s="22"/>
      <c r="M26" s="1082">
        <f>SUM(M9:M25)</f>
        <v>30270.54</v>
      </c>
      <c r="N26" s="22"/>
      <c r="O26" s="22"/>
      <c r="P26" s="1082">
        <f>SUM(P9:P25)</f>
        <v>57155.62000000001</v>
      </c>
      <c r="Q26" s="22"/>
      <c r="R26" s="22"/>
      <c r="S26" s="148">
        <f>SUM(S9:S25)</f>
        <v>68620.62000000001</v>
      </c>
      <c r="T26" s="103"/>
      <c r="U26" s="98"/>
    </row>
    <row r="27" spans="1:21" ht="18" customHeight="1">
      <c r="A27" s="201">
        <v>5</v>
      </c>
      <c r="B27" s="139" t="s">
        <v>1575</v>
      </c>
      <c r="C27" s="142"/>
      <c r="D27" s="143"/>
      <c r="E27" s="143"/>
      <c r="F27" s="135">
        <v>0.09</v>
      </c>
      <c r="G27" s="137">
        <f>G26*F27</f>
        <v>805.3155</v>
      </c>
      <c r="H27" s="791"/>
      <c r="I27" s="135">
        <v>0.09</v>
      </c>
      <c r="J27" s="137">
        <f>J26*I27</f>
        <v>2043.5355</v>
      </c>
      <c r="K27" s="791"/>
      <c r="L27" s="135">
        <v>0.09</v>
      </c>
      <c r="M27" s="137">
        <f>M26*L27</f>
        <v>2724.3486</v>
      </c>
      <c r="N27" s="791"/>
      <c r="O27" s="135">
        <v>0.09</v>
      </c>
      <c r="P27" s="137">
        <f>P26*O27</f>
        <v>5144.005800000001</v>
      </c>
      <c r="Q27" s="791"/>
      <c r="R27" s="135">
        <v>0.09</v>
      </c>
      <c r="S27" s="137">
        <f>S26*R27</f>
        <v>6175.8558</v>
      </c>
      <c r="T27" s="1282"/>
      <c r="U27" s="1283"/>
    </row>
    <row r="28" spans="1:19" ht="30.75" customHeight="1">
      <c r="A28" s="183">
        <v>6</v>
      </c>
      <c r="B28" s="134" t="s">
        <v>391</v>
      </c>
      <c r="C28" s="135"/>
      <c r="D28" s="135" t="s">
        <v>392</v>
      </c>
      <c r="E28" s="135">
        <v>1</v>
      </c>
      <c r="F28" s="137">
        <f>3075*1.27*1.0891*1.086275*1.1112*1.0685</f>
        <v>5485.587450979585</v>
      </c>
      <c r="G28" s="137">
        <f>E28*F28</f>
        <v>5485.587450979585</v>
      </c>
      <c r="H28" s="135">
        <v>1</v>
      </c>
      <c r="I28" s="137">
        <f>+F28</f>
        <v>5485.587450979585</v>
      </c>
      <c r="J28" s="137">
        <f>H28*I28</f>
        <v>5485.587450979585</v>
      </c>
      <c r="K28" s="135">
        <v>1</v>
      </c>
      <c r="L28" s="137">
        <f>+F28</f>
        <v>5485.587450979585</v>
      </c>
      <c r="M28" s="137">
        <f>K28*L28</f>
        <v>5485.587450979585</v>
      </c>
      <c r="N28" s="135">
        <v>1</v>
      </c>
      <c r="O28" s="137">
        <f>+F28</f>
        <v>5485.587450979585</v>
      </c>
      <c r="P28" s="137">
        <f>N28*O28</f>
        <v>5485.587450979585</v>
      </c>
      <c r="Q28" s="135">
        <v>1</v>
      </c>
      <c r="R28" s="137">
        <f>+O28</f>
        <v>5485.587450979585</v>
      </c>
      <c r="S28" s="137">
        <f>Q28*R28</f>
        <v>5485.587450979585</v>
      </c>
    </row>
    <row r="29" spans="1:21" ht="28.5">
      <c r="A29" s="183">
        <v>7</v>
      </c>
      <c r="B29" s="229" t="s">
        <v>393</v>
      </c>
      <c r="C29" s="135"/>
      <c r="D29" s="135"/>
      <c r="E29" s="135"/>
      <c r="F29" s="137"/>
      <c r="G29" s="1091">
        <f>2783.35*1.1112*1.0685</f>
        <v>3304.71932862</v>
      </c>
      <c r="H29" s="135"/>
      <c r="I29" s="137"/>
      <c r="J29" s="137">
        <v>3898.89</v>
      </c>
      <c r="K29" s="135"/>
      <c r="L29" s="137"/>
      <c r="M29" s="137">
        <v>5033.94</v>
      </c>
      <c r="N29" s="135"/>
      <c r="O29" s="137"/>
      <c r="P29" s="137">
        <v>6002.87</v>
      </c>
      <c r="Q29" s="135"/>
      <c r="R29" s="137"/>
      <c r="S29" s="137">
        <f>P29</f>
        <v>6002.87</v>
      </c>
      <c r="T29" s="432"/>
      <c r="U29" s="792"/>
    </row>
    <row r="30" spans="1:27" ht="17.25" customHeight="1">
      <c r="A30" s="135">
        <v>8</v>
      </c>
      <c r="B30" s="134" t="s">
        <v>1579</v>
      </c>
      <c r="C30" s="135"/>
      <c r="D30" s="135" t="s">
        <v>439</v>
      </c>
      <c r="E30" s="135"/>
      <c r="F30" s="135"/>
      <c r="G30" s="137">
        <f>4452.4*1.1402*0.9368</f>
        <v>4755.783686463999</v>
      </c>
      <c r="H30" s="135"/>
      <c r="I30" s="135"/>
      <c r="J30" s="137">
        <f>4929.11*1.1402*0.9368</f>
        <v>5264.976400769599</v>
      </c>
      <c r="K30" s="135"/>
      <c r="L30" s="135"/>
      <c r="M30" s="137">
        <f>+J30</f>
        <v>5264.976400769599</v>
      </c>
      <c r="N30" s="135"/>
      <c r="O30" s="135"/>
      <c r="P30" s="137">
        <f>+M30</f>
        <v>5264.976400769599</v>
      </c>
      <c r="Q30" s="135"/>
      <c r="R30" s="135"/>
      <c r="S30" s="137">
        <f>+P30</f>
        <v>5264.976400769599</v>
      </c>
      <c r="T30" s="793"/>
      <c r="U30" s="107"/>
      <c r="V30" s="107"/>
      <c r="W30" s="107"/>
      <c r="X30" s="107"/>
      <c r="Y30" s="107"/>
      <c r="Z30" s="107"/>
      <c r="AA30" s="107"/>
    </row>
    <row r="31" spans="1:27" ht="17.25" customHeight="1">
      <c r="A31" s="22">
        <v>9</v>
      </c>
      <c r="B31" s="147" t="s">
        <v>1577</v>
      </c>
      <c r="C31" s="135"/>
      <c r="D31" s="135"/>
      <c r="E31" s="135"/>
      <c r="F31" s="135"/>
      <c r="G31" s="202">
        <f>G26+G27+G28+G29+G30</f>
        <v>23299.355966063587</v>
      </c>
      <c r="H31" s="135"/>
      <c r="I31" s="135"/>
      <c r="J31" s="202">
        <f>J26+J27+J28+J29+J30</f>
        <v>39398.939351749184</v>
      </c>
      <c r="K31" s="22"/>
      <c r="L31" s="22"/>
      <c r="M31" s="202">
        <f>M26+M27+M28+M29+M30</f>
        <v>48779.39245174918</v>
      </c>
      <c r="N31" s="22"/>
      <c r="O31" s="22"/>
      <c r="P31" s="202">
        <f>P26+P27+P28+P29+P30</f>
        <v>79053.05965174918</v>
      </c>
      <c r="Q31" s="22"/>
      <c r="R31" s="22"/>
      <c r="S31" s="202">
        <f>S26+S27+S28+S29+S30</f>
        <v>91549.90965174919</v>
      </c>
      <c r="T31" s="104"/>
      <c r="U31" s="411"/>
      <c r="V31" s="411"/>
      <c r="W31" s="411"/>
      <c r="X31" s="411"/>
      <c r="Y31" s="411"/>
      <c r="Z31" s="411"/>
      <c r="AA31" s="411"/>
    </row>
    <row r="32" spans="1:27" ht="47.25" customHeight="1">
      <c r="A32" s="135">
        <v>10</v>
      </c>
      <c r="B32" s="139" t="s">
        <v>1578</v>
      </c>
      <c r="C32" s="135"/>
      <c r="D32" s="135"/>
      <c r="E32" s="135"/>
      <c r="F32" s="135">
        <v>0.11</v>
      </c>
      <c r="G32" s="137">
        <f>G26*F32</f>
        <v>984.2745000000001</v>
      </c>
      <c r="H32" s="135"/>
      <c r="I32" s="135">
        <v>0.11</v>
      </c>
      <c r="J32" s="137">
        <f>J26*I32</f>
        <v>2497.6545</v>
      </c>
      <c r="K32" s="135"/>
      <c r="L32" s="135">
        <v>0.11</v>
      </c>
      <c r="M32" s="137">
        <f>M26*L32</f>
        <v>3329.7594</v>
      </c>
      <c r="N32" s="135"/>
      <c r="O32" s="135">
        <v>0.11</v>
      </c>
      <c r="P32" s="137">
        <f>P26*O32</f>
        <v>6287.118200000001</v>
      </c>
      <c r="Q32" s="135"/>
      <c r="R32" s="135">
        <v>0.11</v>
      </c>
      <c r="S32" s="137">
        <f>S26*R32</f>
        <v>7548.268200000001</v>
      </c>
      <c r="T32" s="104"/>
      <c r="U32" s="411"/>
      <c r="V32" s="411"/>
      <c r="W32" s="411"/>
      <c r="X32" s="411"/>
      <c r="Y32" s="411"/>
      <c r="Z32" s="411"/>
      <c r="AA32" s="411"/>
    </row>
    <row r="33" spans="1:19" ht="15.75" customHeight="1">
      <c r="A33" s="183">
        <v>11</v>
      </c>
      <c r="B33" s="189" t="s">
        <v>1589</v>
      </c>
      <c r="C33" s="136"/>
      <c r="D33" s="135"/>
      <c r="E33" s="135"/>
      <c r="F33" s="135"/>
      <c r="G33" s="138">
        <f>G31+G32</f>
        <v>24283.630466063587</v>
      </c>
      <c r="H33" s="135"/>
      <c r="I33" s="135"/>
      <c r="J33" s="138">
        <f>J31+J32</f>
        <v>41896.59385174918</v>
      </c>
      <c r="K33" s="135"/>
      <c r="L33" s="135"/>
      <c r="M33" s="138">
        <f>M31+M32</f>
        <v>52109.151851749186</v>
      </c>
      <c r="N33" s="135"/>
      <c r="O33" s="135"/>
      <c r="P33" s="138">
        <f>P31+P32</f>
        <v>85340.17785174918</v>
      </c>
      <c r="Q33" s="135"/>
      <c r="R33" s="135"/>
      <c r="S33" s="138">
        <f>S31+S32</f>
        <v>99098.17785174919</v>
      </c>
    </row>
    <row r="34" spans="1:19" ht="17.25" customHeight="1">
      <c r="A34" s="22">
        <v>12</v>
      </c>
      <c r="B34" s="203" t="s">
        <v>1489</v>
      </c>
      <c r="C34" s="134"/>
      <c r="D34" s="134"/>
      <c r="E34" s="134"/>
      <c r="F34" s="134"/>
      <c r="G34" s="202">
        <f>ROUND(G33,0)</f>
        <v>24284</v>
      </c>
      <c r="H34" s="202"/>
      <c r="I34" s="202"/>
      <c r="J34" s="202">
        <f>ROUND(J33,0)</f>
        <v>41897</v>
      </c>
      <c r="K34" s="202"/>
      <c r="L34" s="202"/>
      <c r="M34" s="202">
        <f>ROUND(M33,0)</f>
        <v>52109</v>
      </c>
      <c r="N34" s="202"/>
      <c r="O34" s="202"/>
      <c r="P34" s="202">
        <f>ROUND(P33,0)</f>
        <v>85340</v>
      </c>
      <c r="Q34" s="202"/>
      <c r="R34" s="202"/>
      <c r="S34" s="202">
        <f>ROUND(S33,0)</f>
        <v>99098</v>
      </c>
    </row>
    <row r="35" spans="1:19" ht="14.25">
      <c r="A35" s="781"/>
      <c r="B35" s="782"/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782"/>
      <c r="R35" s="782"/>
      <c r="S35" s="782"/>
    </row>
  </sheetData>
  <sheetProtection/>
  <mergeCells count="15">
    <mergeCell ref="T27:U27"/>
    <mergeCell ref="E1:J1"/>
    <mergeCell ref="D3:M3"/>
    <mergeCell ref="A5:A6"/>
    <mergeCell ref="B5:B6"/>
    <mergeCell ref="C5:C6"/>
    <mergeCell ref="D5:D6"/>
    <mergeCell ref="E5:G5"/>
    <mergeCell ref="H5:J5"/>
    <mergeCell ref="N5:P5"/>
    <mergeCell ref="Q5:S5"/>
    <mergeCell ref="A8:A13"/>
    <mergeCell ref="A14:A22"/>
    <mergeCell ref="K5:M5"/>
    <mergeCell ref="A23:A25"/>
  </mergeCells>
  <conditionalFormatting sqref="B26:C27">
    <cfRule type="cellIs" priority="1" dxfId="0" operator="equal" stopIfTrue="1">
      <formula>"?"</formula>
    </cfRule>
  </conditionalFormatting>
  <printOptions/>
  <pageMargins left="0.55" right="0.11" top="0.64" bottom="0.23" header="0.31" footer="0.14"/>
  <pageSetup horizontalDpi="600" verticalDpi="600" orientation="landscape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T17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7109375" style="36" customWidth="1"/>
    <col min="2" max="2" width="42.8515625" style="1" customWidth="1"/>
    <col min="3" max="3" width="15.00390625" style="1" customWidth="1"/>
    <col min="4" max="4" width="6.140625" style="1" customWidth="1"/>
    <col min="5" max="5" width="7.57421875" style="1" customWidth="1"/>
    <col min="6" max="6" width="11.140625" style="1" customWidth="1"/>
    <col min="7" max="7" width="12.57421875" style="1" bestFit="1" customWidth="1"/>
    <col min="8" max="8" width="7.7109375" style="1" customWidth="1"/>
    <col min="9" max="9" width="11.28125" style="1" customWidth="1"/>
    <col min="10" max="10" width="12.57421875" style="1" bestFit="1" customWidth="1"/>
    <col min="11" max="11" width="7.57421875" style="1" customWidth="1"/>
    <col min="12" max="13" width="12.57421875" style="1" bestFit="1" customWidth="1"/>
    <col min="14" max="14" width="7.57421875" style="1" customWidth="1"/>
    <col min="15" max="16" width="12.57421875" style="1" bestFit="1" customWidth="1"/>
    <col min="17" max="17" width="13.7109375" style="1" customWidth="1"/>
    <col min="18" max="18" width="23.7109375" style="1" customWidth="1"/>
    <col min="19" max="16384" width="9.140625" style="1" customWidth="1"/>
  </cols>
  <sheetData>
    <row r="1" spans="2:16" ht="18">
      <c r="B1" s="57"/>
      <c r="C1" s="57"/>
      <c r="D1" s="57"/>
      <c r="E1" s="1153" t="s">
        <v>434</v>
      </c>
      <c r="F1" s="1153"/>
      <c r="G1" s="1153"/>
      <c r="H1" s="1153"/>
      <c r="I1" s="1153"/>
      <c r="J1" s="1153"/>
      <c r="K1" s="57"/>
      <c r="L1" s="57"/>
      <c r="M1" s="57"/>
      <c r="N1" s="57"/>
      <c r="O1" s="57"/>
      <c r="P1" s="57"/>
    </row>
    <row r="2" spans="1:16" ht="12" customHeight="1">
      <c r="A2" s="673"/>
      <c r="B2" s="44"/>
      <c r="C2" s="722"/>
      <c r="D2" s="723"/>
      <c r="E2" s="673"/>
      <c r="F2" s="7"/>
      <c r="G2" s="7"/>
      <c r="H2" s="673"/>
      <c r="I2" s="7"/>
      <c r="J2" s="7"/>
      <c r="K2" s="673"/>
      <c r="L2" s="7"/>
      <c r="M2" s="7"/>
      <c r="N2" s="673"/>
      <c r="O2" s="7"/>
      <c r="P2" s="7"/>
    </row>
    <row r="3" spans="2:16" ht="22.5" customHeight="1">
      <c r="B3" s="1288" t="s">
        <v>394</v>
      </c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/>
      <c r="N3" s="236"/>
      <c r="O3" s="236"/>
      <c r="P3" s="236"/>
    </row>
    <row r="4" spans="1:16" ht="15.75">
      <c r="A4" s="675"/>
      <c r="B4" s="93"/>
      <c r="C4" s="92"/>
      <c r="D4" s="794"/>
      <c r="E4" s="675"/>
      <c r="F4" s="91"/>
      <c r="G4" s="91"/>
      <c r="H4" s="675"/>
      <c r="I4" s="91"/>
      <c r="J4" s="91"/>
      <c r="K4" s="675"/>
      <c r="L4" s="91"/>
      <c r="M4" s="91"/>
      <c r="N4" s="675"/>
      <c r="O4" s="91"/>
      <c r="P4" s="112" t="s">
        <v>551</v>
      </c>
    </row>
    <row r="5" spans="1:16" ht="15.75">
      <c r="A5" s="1262" t="s">
        <v>1335</v>
      </c>
      <c r="B5" s="1262" t="s">
        <v>449</v>
      </c>
      <c r="C5" s="1263" t="s">
        <v>53</v>
      </c>
      <c r="D5" s="1289" t="s">
        <v>450</v>
      </c>
      <c r="E5" s="1260" t="s">
        <v>1300</v>
      </c>
      <c r="F5" s="1260"/>
      <c r="G5" s="1260"/>
      <c r="H5" s="1260" t="s">
        <v>1301</v>
      </c>
      <c r="I5" s="1260"/>
      <c r="J5" s="1260"/>
      <c r="K5" s="1260" t="s">
        <v>1302</v>
      </c>
      <c r="L5" s="1260"/>
      <c r="M5" s="1260"/>
      <c r="N5" s="1260" t="s">
        <v>1303</v>
      </c>
      <c r="O5" s="1260"/>
      <c r="P5" s="1260"/>
    </row>
    <row r="6" spans="1:16" ht="15.75">
      <c r="A6" s="1262"/>
      <c r="B6" s="1262"/>
      <c r="C6" s="1263"/>
      <c r="D6" s="1290"/>
      <c r="E6" s="17" t="s">
        <v>1315</v>
      </c>
      <c r="F6" s="17" t="s">
        <v>799</v>
      </c>
      <c r="G6" s="17" t="s">
        <v>800</v>
      </c>
      <c r="H6" s="17" t="s">
        <v>1315</v>
      </c>
      <c r="I6" s="17" t="s">
        <v>799</v>
      </c>
      <c r="J6" s="17" t="s">
        <v>800</v>
      </c>
      <c r="K6" s="17" t="s">
        <v>1315</v>
      </c>
      <c r="L6" s="17" t="s">
        <v>799</v>
      </c>
      <c r="M6" s="17" t="s">
        <v>800</v>
      </c>
      <c r="N6" s="17" t="s">
        <v>1315</v>
      </c>
      <c r="O6" s="17" t="s">
        <v>799</v>
      </c>
      <c r="P6" s="17" t="s">
        <v>800</v>
      </c>
    </row>
    <row r="7" spans="1:16" ht="15.75">
      <c r="A7" s="679">
        <v>1</v>
      </c>
      <c r="B7" s="680">
        <v>2</v>
      </c>
      <c r="C7" s="679">
        <v>3</v>
      </c>
      <c r="D7" s="680">
        <v>4</v>
      </c>
      <c r="E7" s="679">
        <v>5</v>
      </c>
      <c r="F7" s="680">
        <v>6</v>
      </c>
      <c r="G7" s="679">
        <v>7</v>
      </c>
      <c r="H7" s="680">
        <v>8</v>
      </c>
      <c r="I7" s="679">
        <v>9</v>
      </c>
      <c r="J7" s="680">
        <v>10</v>
      </c>
      <c r="K7" s="679">
        <v>11</v>
      </c>
      <c r="L7" s="680">
        <v>12</v>
      </c>
      <c r="M7" s="679">
        <v>13</v>
      </c>
      <c r="N7" s="680">
        <v>14</v>
      </c>
      <c r="O7" s="679">
        <v>15</v>
      </c>
      <c r="P7" s="680">
        <v>16</v>
      </c>
    </row>
    <row r="8" spans="1:16" ht="18.75" customHeight="1">
      <c r="A8" s="1254">
        <v>1</v>
      </c>
      <c r="B8" s="173" t="s">
        <v>1304</v>
      </c>
      <c r="C8" s="795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7"/>
    </row>
    <row r="9" spans="1:17" ht="21" customHeight="1">
      <c r="A9" s="1255"/>
      <c r="B9" s="127" t="s">
        <v>186</v>
      </c>
      <c r="C9" s="685">
        <v>7132210008</v>
      </c>
      <c r="D9" s="686" t="s">
        <v>1553</v>
      </c>
      <c r="E9" s="686">
        <v>1</v>
      </c>
      <c r="F9" s="176">
        <f>VLOOKUP(C9,'SOR RATE'!A:D,4,0)</f>
        <v>54268</v>
      </c>
      <c r="G9" s="176">
        <f>F9*E9</f>
        <v>54268</v>
      </c>
      <c r="H9" s="686"/>
      <c r="I9" s="176"/>
      <c r="J9" s="176"/>
      <c r="K9" s="686"/>
      <c r="L9" s="176"/>
      <c r="M9" s="176"/>
      <c r="N9" s="686"/>
      <c r="O9" s="176"/>
      <c r="P9" s="176"/>
      <c r="Q9" s="7"/>
    </row>
    <row r="10" spans="1:20" ht="21" customHeight="1">
      <c r="A10" s="1255"/>
      <c r="B10" s="127" t="s">
        <v>1073</v>
      </c>
      <c r="C10" s="685">
        <v>7132210009</v>
      </c>
      <c r="D10" s="686" t="s">
        <v>1553</v>
      </c>
      <c r="E10" s="686"/>
      <c r="F10" s="176"/>
      <c r="G10" s="176"/>
      <c r="H10" s="686">
        <v>1</v>
      </c>
      <c r="I10" s="176">
        <f>VLOOKUP(C10,'SOR RATE'!A:D,4,0)</f>
        <v>88254</v>
      </c>
      <c r="J10" s="176">
        <f>I10*H10</f>
        <v>88254</v>
      </c>
      <c r="K10" s="686"/>
      <c r="L10" s="176"/>
      <c r="M10" s="176"/>
      <c r="N10" s="686"/>
      <c r="O10" s="176"/>
      <c r="P10" s="176"/>
      <c r="Q10" s="101"/>
      <c r="R10" s="97" t="s">
        <v>1276</v>
      </c>
      <c r="S10" s="97"/>
      <c r="T10" s="97"/>
    </row>
    <row r="11" spans="1:17" ht="21" customHeight="1">
      <c r="A11" s="1255"/>
      <c r="B11" s="127" t="s">
        <v>1306</v>
      </c>
      <c r="C11" s="685">
        <v>7132210010</v>
      </c>
      <c r="D11" s="686" t="s">
        <v>1553</v>
      </c>
      <c r="E11" s="686"/>
      <c r="F11" s="176"/>
      <c r="G11" s="176"/>
      <c r="H11" s="686"/>
      <c r="I11" s="176"/>
      <c r="J11" s="176"/>
      <c r="K11" s="686">
        <v>1</v>
      </c>
      <c r="L11" s="176">
        <f>VLOOKUP(C11,'SOR RATE'!A:D,4,0)</f>
        <v>119054</v>
      </c>
      <c r="M11" s="176">
        <f>L11*K11</f>
        <v>119054</v>
      </c>
      <c r="N11" s="686"/>
      <c r="O11" s="176"/>
      <c r="P11" s="176"/>
      <c r="Q11" s="7"/>
    </row>
    <row r="12" spans="1:17" ht="21" customHeight="1">
      <c r="A12" s="1256"/>
      <c r="B12" s="127" t="s">
        <v>896</v>
      </c>
      <c r="C12" s="685">
        <v>7132210011</v>
      </c>
      <c r="D12" s="686" t="s">
        <v>1553</v>
      </c>
      <c r="E12" s="686"/>
      <c r="F12" s="176"/>
      <c r="G12" s="176"/>
      <c r="H12" s="686"/>
      <c r="I12" s="176"/>
      <c r="J12" s="176"/>
      <c r="K12" s="686"/>
      <c r="L12" s="176"/>
      <c r="M12" s="176"/>
      <c r="N12" s="686">
        <v>1</v>
      </c>
      <c r="O12" s="176">
        <f>VLOOKUP(C12,'SOR RATE'!A:D,4,0)</f>
        <v>220748</v>
      </c>
      <c r="P12" s="176">
        <f aca="true" t="shared" si="0" ref="P12:P22">O12*N12</f>
        <v>220748</v>
      </c>
      <c r="Q12" s="7"/>
    </row>
    <row r="13" spans="1:18" ht="51" customHeight="1">
      <c r="A13" s="686">
        <v>2</v>
      </c>
      <c r="B13" s="127" t="s">
        <v>187</v>
      </c>
      <c r="C13" s="114">
        <v>7130601965</v>
      </c>
      <c r="D13" s="114" t="s">
        <v>458</v>
      </c>
      <c r="E13" s="686">
        <v>816.2</v>
      </c>
      <c r="F13" s="176">
        <f>VLOOKUP(C13,'SOR RATE'!A:D,4,0)/1000</f>
        <v>44.989</v>
      </c>
      <c r="G13" s="176">
        <f aca="true" t="shared" si="1" ref="G13:G23">F13*E13</f>
        <v>36720.0218</v>
      </c>
      <c r="H13" s="686">
        <f>+E13</f>
        <v>816.2</v>
      </c>
      <c r="I13" s="176">
        <f>+F13</f>
        <v>44.989</v>
      </c>
      <c r="J13" s="176">
        <f aca="true" t="shared" si="2" ref="J13:J23">I13*H13</f>
        <v>36720.0218</v>
      </c>
      <c r="K13" s="687">
        <f>+H13</f>
        <v>816.2</v>
      </c>
      <c r="L13" s="689">
        <f>+I13</f>
        <v>44.989</v>
      </c>
      <c r="M13" s="176">
        <f aca="true" t="shared" si="3" ref="M13:M23">L13*K13</f>
        <v>36720.0218</v>
      </c>
      <c r="N13" s="687">
        <f>+K13</f>
        <v>816.2</v>
      </c>
      <c r="O13" s="689">
        <f>+L13</f>
        <v>44.989</v>
      </c>
      <c r="P13" s="176">
        <f t="shared" si="0"/>
        <v>36720.0218</v>
      </c>
      <c r="Q13" s="1116"/>
      <c r="R13" s="507"/>
    </row>
    <row r="14" spans="1:16" ht="20.25" customHeight="1">
      <c r="A14" s="686">
        <v>3</v>
      </c>
      <c r="B14" s="173" t="s">
        <v>10</v>
      </c>
      <c r="C14" s="685">
        <v>7130810517</v>
      </c>
      <c r="D14" s="686" t="s">
        <v>452</v>
      </c>
      <c r="E14" s="686">
        <v>1</v>
      </c>
      <c r="F14" s="176">
        <f>VLOOKUP(C14,'SOR RATE'!A:D,4,0)</f>
        <v>4547</v>
      </c>
      <c r="G14" s="176">
        <f t="shared" si="1"/>
        <v>4547</v>
      </c>
      <c r="H14" s="686">
        <v>1</v>
      </c>
      <c r="I14" s="176">
        <f aca="true" t="shared" si="4" ref="I14:I23">+F14</f>
        <v>4547</v>
      </c>
      <c r="J14" s="176">
        <f t="shared" si="2"/>
        <v>4547</v>
      </c>
      <c r="K14" s="686">
        <v>1</v>
      </c>
      <c r="L14" s="176">
        <f aca="true" t="shared" si="5" ref="L14:L23">+F14</f>
        <v>4547</v>
      </c>
      <c r="M14" s="176">
        <f t="shared" si="3"/>
        <v>4547</v>
      </c>
      <c r="N14" s="686">
        <v>1</v>
      </c>
      <c r="O14" s="176">
        <f aca="true" t="shared" si="6" ref="O14:O22">+F14</f>
        <v>4547</v>
      </c>
      <c r="P14" s="176">
        <f t="shared" si="0"/>
        <v>4547</v>
      </c>
    </row>
    <row r="15" spans="1:18" ht="17.25" customHeight="1">
      <c r="A15" s="1254">
        <v>4</v>
      </c>
      <c r="B15" s="127" t="s">
        <v>1030</v>
      </c>
      <c r="C15" s="685">
        <v>7130820010</v>
      </c>
      <c r="D15" s="686" t="s">
        <v>452</v>
      </c>
      <c r="E15" s="686">
        <v>3</v>
      </c>
      <c r="F15" s="176">
        <f>VLOOKUP(C15,'SOR RATE'!A:D,4,0)</f>
        <v>140</v>
      </c>
      <c r="G15" s="176">
        <f t="shared" si="1"/>
        <v>420</v>
      </c>
      <c r="H15" s="686">
        <v>3</v>
      </c>
      <c r="I15" s="176">
        <f t="shared" si="4"/>
        <v>140</v>
      </c>
      <c r="J15" s="176">
        <f t="shared" si="2"/>
        <v>420</v>
      </c>
      <c r="K15" s="686">
        <v>3</v>
      </c>
      <c r="L15" s="176">
        <f t="shared" si="5"/>
        <v>140</v>
      </c>
      <c r="M15" s="176">
        <f t="shared" si="3"/>
        <v>420</v>
      </c>
      <c r="N15" s="686">
        <v>3</v>
      </c>
      <c r="O15" s="176">
        <f t="shared" si="6"/>
        <v>140</v>
      </c>
      <c r="P15" s="176">
        <f t="shared" si="0"/>
        <v>420</v>
      </c>
      <c r="R15" s="1072" t="s">
        <v>1031</v>
      </c>
    </row>
    <row r="16" spans="1:16" ht="17.25" customHeight="1">
      <c r="A16" s="1256"/>
      <c r="B16" s="173" t="s">
        <v>899</v>
      </c>
      <c r="C16" s="685">
        <v>7130820241</v>
      </c>
      <c r="D16" s="686" t="s">
        <v>803</v>
      </c>
      <c r="E16" s="686">
        <v>3</v>
      </c>
      <c r="F16" s="176">
        <f>VLOOKUP(C16,'SOR RATE'!A:D,4,0)</f>
        <v>123</v>
      </c>
      <c r="G16" s="176">
        <f t="shared" si="1"/>
        <v>369</v>
      </c>
      <c r="H16" s="686">
        <v>3</v>
      </c>
      <c r="I16" s="176">
        <f t="shared" si="4"/>
        <v>123</v>
      </c>
      <c r="J16" s="176">
        <f t="shared" si="2"/>
        <v>369</v>
      </c>
      <c r="K16" s="686">
        <v>3</v>
      </c>
      <c r="L16" s="176">
        <f t="shared" si="5"/>
        <v>123</v>
      </c>
      <c r="M16" s="176">
        <f t="shared" si="3"/>
        <v>369</v>
      </c>
      <c r="N16" s="686">
        <v>3</v>
      </c>
      <c r="O16" s="176">
        <f t="shared" si="6"/>
        <v>123</v>
      </c>
      <c r="P16" s="176">
        <f t="shared" si="0"/>
        <v>369</v>
      </c>
    </row>
    <row r="17" spans="1:18" ht="17.25" customHeight="1">
      <c r="A17" s="686">
        <v>5</v>
      </c>
      <c r="B17" s="177" t="s">
        <v>1545</v>
      </c>
      <c r="C17" s="804">
        <v>7130820008</v>
      </c>
      <c r="D17" s="686" t="s">
        <v>452</v>
      </c>
      <c r="E17" s="686">
        <v>6</v>
      </c>
      <c r="F17" s="176">
        <f>VLOOKUP(C17,'SOR RATE'!A:D,4,0)</f>
        <v>157</v>
      </c>
      <c r="G17" s="176">
        <f t="shared" si="1"/>
        <v>942</v>
      </c>
      <c r="H17" s="686">
        <v>6</v>
      </c>
      <c r="I17" s="176">
        <f>+F17</f>
        <v>157</v>
      </c>
      <c r="J17" s="176">
        <f t="shared" si="2"/>
        <v>942</v>
      </c>
      <c r="K17" s="686">
        <v>6</v>
      </c>
      <c r="L17" s="176">
        <f>+F17</f>
        <v>157</v>
      </c>
      <c r="M17" s="176">
        <f t="shared" si="3"/>
        <v>942</v>
      </c>
      <c r="N17" s="686">
        <v>6</v>
      </c>
      <c r="O17" s="176">
        <f>+F17</f>
        <v>157</v>
      </c>
      <c r="P17" s="176">
        <f t="shared" si="0"/>
        <v>942</v>
      </c>
      <c r="Q17" s="102"/>
      <c r="R17" s="1072" t="s">
        <v>383</v>
      </c>
    </row>
    <row r="18" spans="1:16" ht="31.5" customHeight="1">
      <c r="A18" s="175">
        <v>6</v>
      </c>
      <c r="B18" s="692" t="s">
        <v>12</v>
      </c>
      <c r="C18" s="693">
        <v>7130810509</v>
      </c>
      <c r="D18" s="691" t="s">
        <v>452</v>
      </c>
      <c r="E18" s="691">
        <v>1</v>
      </c>
      <c r="F18" s="176">
        <f>VLOOKUP(C18,'SOR RATE'!A205:D205,4,0)</f>
        <v>3322</v>
      </c>
      <c r="G18" s="176">
        <f t="shared" si="1"/>
        <v>3322</v>
      </c>
      <c r="H18" s="691">
        <v>1</v>
      </c>
      <c r="I18" s="176">
        <f t="shared" si="4"/>
        <v>3322</v>
      </c>
      <c r="J18" s="176">
        <f t="shared" si="2"/>
        <v>3322</v>
      </c>
      <c r="K18" s="691">
        <v>1</v>
      </c>
      <c r="L18" s="176">
        <f t="shared" si="5"/>
        <v>3322</v>
      </c>
      <c r="M18" s="176">
        <f t="shared" si="3"/>
        <v>3322</v>
      </c>
      <c r="N18" s="691">
        <v>1</v>
      </c>
      <c r="O18" s="176">
        <f t="shared" si="6"/>
        <v>3322</v>
      </c>
      <c r="P18" s="176">
        <f t="shared" si="0"/>
        <v>3322</v>
      </c>
    </row>
    <row r="19" spans="1:16" ht="18" customHeight="1">
      <c r="A19" s="686">
        <v>7</v>
      </c>
      <c r="B19" s="173" t="s">
        <v>1064</v>
      </c>
      <c r="C19" s="685">
        <v>7131930412</v>
      </c>
      <c r="D19" s="686" t="s">
        <v>1553</v>
      </c>
      <c r="E19" s="686">
        <v>3</v>
      </c>
      <c r="F19" s="176">
        <f>VLOOKUP(C19,'SOR RATE'!A:D,4,0)</f>
        <v>1199</v>
      </c>
      <c r="G19" s="176">
        <f t="shared" si="1"/>
        <v>3597</v>
      </c>
      <c r="H19" s="686">
        <v>3</v>
      </c>
      <c r="I19" s="176">
        <f t="shared" si="4"/>
        <v>1199</v>
      </c>
      <c r="J19" s="176">
        <f t="shared" si="2"/>
        <v>3597</v>
      </c>
      <c r="K19" s="686">
        <v>3</v>
      </c>
      <c r="L19" s="176">
        <f t="shared" si="5"/>
        <v>1199</v>
      </c>
      <c r="M19" s="176">
        <f t="shared" si="3"/>
        <v>3597</v>
      </c>
      <c r="N19" s="686">
        <v>3</v>
      </c>
      <c r="O19" s="176">
        <f t="shared" si="6"/>
        <v>1199</v>
      </c>
      <c r="P19" s="176">
        <f t="shared" si="0"/>
        <v>3597</v>
      </c>
    </row>
    <row r="20" spans="1:16" ht="34.5" customHeight="1">
      <c r="A20" s="686">
        <v>8</v>
      </c>
      <c r="B20" s="173" t="s">
        <v>901</v>
      </c>
      <c r="C20" s="171">
        <v>7130600023</v>
      </c>
      <c r="D20" s="171" t="s">
        <v>1369</v>
      </c>
      <c r="E20" s="686">
        <v>20</v>
      </c>
      <c r="F20" s="176">
        <f>VLOOKUP(C20,'SOR RATE'!A:D,4,0)/1000</f>
        <v>40.214</v>
      </c>
      <c r="G20" s="176">
        <f t="shared" si="1"/>
        <v>804.28</v>
      </c>
      <c r="H20" s="686">
        <v>20</v>
      </c>
      <c r="I20" s="176">
        <f t="shared" si="4"/>
        <v>40.214</v>
      </c>
      <c r="J20" s="176">
        <f t="shared" si="2"/>
        <v>804.28</v>
      </c>
      <c r="K20" s="686">
        <v>20</v>
      </c>
      <c r="L20" s="176">
        <f t="shared" si="5"/>
        <v>40.214</v>
      </c>
      <c r="M20" s="176">
        <f t="shared" si="3"/>
        <v>804.28</v>
      </c>
      <c r="N20" s="686">
        <v>20</v>
      </c>
      <c r="O20" s="176">
        <f t="shared" si="6"/>
        <v>40.214</v>
      </c>
      <c r="P20" s="176">
        <f t="shared" si="0"/>
        <v>804.28</v>
      </c>
    </row>
    <row r="21" spans="1:16" ht="18" customHeight="1">
      <c r="A21" s="1254">
        <v>9</v>
      </c>
      <c r="B21" s="127" t="s">
        <v>14</v>
      </c>
      <c r="C21" s="685">
        <v>7130860032</v>
      </c>
      <c r="D21" s="686" t="s">
        <v>452</v>
      </c>
      <c r="E21" s="128">
        <v>4</v>
      </c>
      <c r="F21" s="176">
        <f>VLOOKUP(C21,'SOR RATE'!A:D,4,0)</f>
        <v>387</v>
      </c>
      <c r="G21" s="176">
        <f t="shared" si="1"/>
        <v>1548</v>
      </c>
      <c r="H21" s="128">
        <v>4</v>
      </c>
      <c r="I21" s="176">
        <f t="shared" si="4"/>
        <v>387</v>
      </c>
      <c r="J21" s="176">
        <f t="shared" si="2"/>
        <v>1548</v>
      </c>
      <c r="K21" s="128">
        <v>4</v>
      </c>
      <c r="L21" s="176">
        <f t="shared" si="5"/>
        <v>387</v>
      </c>
      <c r="M21" s="176">
        <f t="shared" si="3"/>
        <v>1548</v>
      </c>
      <c r="N21" s="686">
        <v>4</v>
      </c>
      <c r="O21" s="176">
        <f t="shared" si="6"/>
        <v>387</v>
      </c>
      <c r="P21" s="176">
        <f t="shared" si="0"/>
        <v>1548</v>
      </c>
    </row>
    <row r="22" spans="1:16" ht="33.75" customHeight="1">
      <c r="A22" s="1255"/>
      <c r="B22" s="173" t="s">
        <v>1373</v>
      </c>
      <c r="C22" s="685">
        <v>7130860077</v>
      </c>
      <c r="D22" s="686" t="s">
        <v>458</v>
      </c>
      <c r="E22" s="686">
        <v>22</v>
      </c>
      <c r="F22" s="176">
        <f>VLOOKUP(C22,'SOR RATE'!A:D,4,0)/1000</f>
        <v>61.6</v>
      </c>
      <c r="G22" s="176">
        <f t="shared" si="1"/>
        <v>1355.2</v>
      </c>
      <c r="H22" s="686">
        <v>22</v>
      </c>
      <c r="I22" s="176">
        <f t="shared" si="4"/>
        <v>61.6</v>
      </c>
      <c r="J22" s="176">
        <f t="shared" si="2"/>
        <v>1355.2</v>
      </c>
      <c r="K22" s="686">
        <v>22</v>
      </c>
      <c r="L22" s="176">
        <f t="shared" si="5"/>
        <v>61.6</v>
      </c>
      <c r="M22" s="176">
        <f t="shared" si="3"/>
        <v>1355.2</v>
      </c>
      <c r="N22" s="686">
        <v>22</v>
      </c>
      <c r="O22" s="176">
        <f t="shared" si="6"/>
        <v>61.6</v>
      </c>
      <c r="P22" s="176">
        <f t="shared" si="0"/>
        <v>1355.2</v>
      </c>
    </row>
    <row r="23" spans="1:16" ht="20.25" customHeight="1">
      <c r="A23" s="1255"/>
      <c r="B23" s="117" t="s">
        <v>277</v>
      </c>
      <c r="C23" s="12">
        <v>7130810692</v>
      </c>
      <c r="D23" s="686" t="s">
        <v>452</v>
      </c>
      <c r="E23" s="686">
        <v>4</v>
      </c>
      <c r="F23" s="176">
        <f>VLOOKUP(C23,'SOR RATE'!A:D,4,0)</f>
        <v>294</v>
      </c>
      <c r="G23" s="176">
        <f t="shared" si="1"/>
        <v>1176</v>
      </c>
      <c r="H23" s="686">
        <v>4</v>
      </c>
      <c r="I23" s="176">
        <f t="shared" si="4"/>
        <v>294</v>
      </c>
      <c r="J23" s="176">
        <f t="shared" si="2"/>
        <v>1176</v>
      </c>
      <c r="K23" s="686">
        <v>4</v>
      </c>
      <c r="L23" s="176">
        <f t="shared" si="5"/>
        <v>294</v>
      </c>
      <c r="M23" s="176">
        <f t="shared" si="3"/>
        <v>1176</v>
      </c>
      <c r="N23" s="686">
        <v>4</v>
      </c>
      <c r="O23" s="176">
        <f>+I23</f>
        <v>294</v>
      </c>
      <c r="P23" s="176">
        <f>O23*N23</f>
        <v>1176</v>
      </c>
    </row>
    <row r="24" spans="1:16" ht="48" customHeight="1">
      <c r="A24" s="1254">
        <v>10</v>
      </c>
      <c r="B24" s="127" t="s">
        <v>189</v>
      </c>
      <c r="C24" s="685"/>
      <c r="D24" s="686" t="s">
        <v>454</v>
      </c>
      <c r="E24" s="686">
        <v>2.1</v>
      </c>
      <c r="F24" s="176"/>
      <c r="G24" s="176"/>
      <c r="H24" s="798">
        <f>+E24</f>
        <v>2.1</v>
      </c>
      <c r="I24" s="176"/>
      <c r="J24" s="176"/>
      <c r="K24" s="695">
        <f>+H24</f>
        <v>2.1</v>
      </c>
      <c r="L24" s="696"/>
      <c r="M24" s="696"/>
      <c r="N24" s="695">
        <f>+K24</f>
        <v>2.1</v>
      </c>
      <c r="O24" s="696"/>
      <c r="P24" s="176"/>
    </row>
    <row r="25" spans="1:16" ht="23.25" customHeight="1">
      <c r="A25" s="1256"/>
      <c r="B25" s="127" t="s">
        <v>307</v>
      </c>
      <c r="C25" s="685">
        <v>7130200401</v>
      </c>
      <c r="D25" s="697" t="s">
        <v>458</v>
      </c>
      <c r="E25" s="686">
        <v>437</v>
      </c>
      <c r="F25" s="176">
        <f>VLOOKUP(C25,'SOR RATE'!A:D,4,0)/50</f>
        <v>5.36</v>
      </c>
      <c r="G25" s="176">
        <f>F25*E25</f>
        <v>2342.32</v>
      </c>
      <c r="H25" s="686">
        <f>+E25</f>
        <v>437</v>
      </c>
      <c r="I25" s="176">
        <f>+F25</f>
        <v>5.36</v>
      </c>
      <c r="J25" s="176">
        <f>I25*H25</f>
        <v>2342.32</v>
      </c>
      <c r="K25" s="686">
        <f>+E25</f>
        <v>437</v>
      </c>
      <c r="L25" s="176">
        <f>+F25</f>
        <v>5.36</v>
      </c>
      <c r="M25" s="176">
        <f>L25*K25</f>
        <v>2342.32</v>
      </c>
      <c r="N25" s="686">
        <f>+E25</f>
        <v>437</v>
      </c>
      <c r="O25" s="176">
        <f>+F25</f>
        <v>5.36</v>
      </c>
      <c r="P25" s="176">
        <f>O25*N25</f>
        <v>2342.32</v>
      </c>
    </row>
    <row r="26" spans="1:16" ht="34.5" customHeight="1">
      <c r="A26" s="686">
        <v>11</v>
      </c>
      <c r="B26" s="698" t="s">
        <v>1376</v>
      </c>
      <c r="C26" s="685">
        <v>7130600023</v>
      </c>
      <c r="D26" s="686" t="s">
        <v>458</v>
      </c>
      <c r="E26" s="686">
        <v>34</v>
      </c>
      <c r="F26" s="176">
        <f>VLOOKUP(C26,'SOR RATE'!A:D,4,0)/1000</f>
        <v>40.214</v>
      </c>
      <c r="G26" s="176">
        <f>F26*E26</f>
        <v>1367.2759999999998</v>
      </c>
      <c r="H26" s="686">
        <v>34</v>
      </c>
      <c r="I26" s="176">
        <f>+F26</f>
        <v>40.214</v>
      </c>
      <c r="J26" s="176">
        <f>I26*H26</f>
        <v>1367.2759999999998</v>
      </c>
      <c r="K26" s="686">
        <v>34</v>
      </c>
      <c r="L26" s="176">
        <f>+F26</f>
        <v>40.214</v>
      </c>
      <c r="M26" s="176">
        <f>L26*K26</f>
        <v>1367.2759999999998</v>
      </c>
      <c r="N26" s="686">
        <v>34</v>
      </c>
      <c r="O26" s="176">
        <f>+F26</f>
        <v>40.214</v>
      </c>
      <c r="P26" s="176">
        <f>O26*N26</f>
        <v>1367.2759999999998</v>
      </c>
    </row>
    <row r="27" spans="1:16" ht="35.25" customHeight="1">
      <c r="A27" s="686">
        <v>12</v>
      </c>
      <c r="B27" s="173" t="s">
        <v>537</v>
      </c>
      <c r="C27" s="685">
        <v>7130850201</v>
      </c>
      <c r="D27" s="686" t="s">
        <v>802</v>
      </c>
      <c r="E27" s="686">
        <v>1</v>
      </c>
      <c r="F27" s="176">
        <f>VLOOKUP(C27,'SOR RATE'!A:D,4,0)</f>
        <v>4547</v>
      </c>
      <c r="G27" s="176">
        <f>F27*E27</f>
        <v>4547</v>
      </c>
      <c r="H27" s="686">
        <v>1</v>
      </c>
      <c r="I27" s="176">
        <f>+F27</f>
        <v>4547</v>
      </c>
      <c r="J27" s="176">
        <f>I27*H27</f>
        <v>4547</v>
      </c>
      <c r="K27" s="686">
        <v>1</v>
      </c>
      <c r="L27" s="176">
        <f>+F27</f>
        <v>4547</v>
      </c>
      <c r="M27" s="176">
        <f>L27*K27</f>
        <v>4547</v>
      </c>
      <c r="N27" s="686">
        <v>1</v>
      </c>
      <c r="O27" s="176">
        <f>+F27</f>
        <v>4547</v>
      </c>
      <c r="P27" s="176">
        <f>O27*N27</f>
        <v>4547</v>
      </c>
    </row>
    <row r="28" spans="1:16" ht="18" customHeight="1">
      <c r="A28" s="686">
        <v>13</v>
      </c>
      <c r="B28" s="173" t="s">
        <v>1342</v>
      </c>
      <c r="C28" s="685">
        <v>7130880041</v>
      </c>
      <c r="D28" s="686" t="s">
        <v>1553</v>
      </c>
      <c r="E28" s="686">
        <v>1</v>
      </c>
      <c r="F28" s="176">
        <f>VLOOKUP(C28,'SOR RATE'!A:D,4,0)</f>
        <v>74</v>
      </c>
      <c r="G28" s="176">
        <f>F28*E28</f>
        <v>74</v>
      </c>
      <c r="H28" s="686">
        <v>1</v>
      </c>
      <c r="I28" s="176">
        <f>+F28</f>
        <v>74</v>
      </c>
      <c r="J28" s="176">
        <f>I28*H28</f>
        <v>74</v>
      </c>
      <c r="K28" s="686">
        <v>1</v>
      </c>
      <c r="L28" s="176">
        <f>+F28</f>
        <v>74</v>
      </c>
      <c r="M28" s="176">
        <f>L28*K28</f>
        <v>74</v>
      </c>
      <c r="N28" s="686">
        <v>1</v>
      </c>
      <c r="O28" s="176">
        <f>+F28</f>
        <v>74</v>
      </c>
      <c r="P28" s="176">
        <f>O28*N28</f>
        <v>74</v>
      </c>
    </row>
    <row r="29" spans="1:16" ht="35.25" customHeight="1">
      <c r="A29" s="1254">
        <v>14</v>
      </c>
      <c r="B29" s="127" t="s">
        <v>1378</v>
      </c>
      <c r="C29" s="699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1"/>
    </row>
    <row r="30" spans="1:16" ht="18" customHeight="1">
      <c r="A30" s="1255"/>
      <c r="B30" s="173" t="s">
        <v>1379</v>
      </c>
      <c r="C30" s="685">
        <v>7130641396</v>
      </c>
      <c r="D30" s="686" t="s">
        <v>1368</v>
      </c>
      <c r="E30" s="686">
        <v>9</v>
      </c>
      <c r="F30" s="176">
        <f>VLOOKUP(C30,'SOR RATE'!A:D,4,0)</f>
        <v>190</v>
      </c>
      <c r="G30" s="176">
        <f aca="true" t="shared" si="7" ref="G30:G35">F30*E30</f>
        <v>1710</v>
      </c>
      <c r="H30" s="686">
        <v>9</v>
      </c>
      <c r="I30" s="176">
        <f aca="true" t="shared" si="8" ref="I30:I35">+F30</f>
        <v>190</v>
      </c>
      <c r="J30" s="176">
        <f aca="true" t="shared" si="9" ref="J30:J35">I30*H30</f>
        <v>1710</v>
      </c>
      <c r="K30" s="686">
        <v>9</v>
      </c>
      <c r="L30" s="176">
        <f aca="true" t="shared" si="10" ref="L30:L35">+F30</f>
        <v>190</v>
      </c>
      <c r="M30" s="176">
        <f aca="true" t="shared" si="11" ref="M30:M35">L30*K30</f>
        <v>1710</v>
      </c>
      <c r="N30" s="686">
        <v>9</v>
      </c>
      <c r="O30" s="176">
        <f aca="true" t="shared" si="12" ref="O30:O35">+F30</f>
        <v>190</v>
      </c>
      <c r="P30" s="176">
        <f aca="true" t="shared" si="13" ref="P30:P35">O30*N30</f>
        <v>1710</v>
      </c>
    </row>
    <row r="31" spans="1:16" ht="18.75" customHeight="1">
      <c r="A31" s="1256"/>
      <c r="B31" s="173" t="s">
        <v>1380</v>
      </c>
      <c r="C31" s="685">
        <v>7130870043</v>
      </c>
      <c r="D31" s="686" t="s">
        <v>458</v>
      </c>
      <c r="E31" s="686">
        <v>15</v>
      </c>
      <c r="F31" s="176">
        <f>VLOOKUP(C31,'SOR RATE'!A:D,4,0)/1000</f>
        <v>55.094</v>
      </c>
      <c r="G31" s="176">
        <f t="shared" si="7"/>
        <v>826.41</v>
      </c>
      <c r="H31" s="686">
        <v>15</v>
      </c>
      <c r="I31" s="176">
        <f t="shared" si="8"/>
        <v>55.094</v>
      </c>
      <c r="J31" s="176">
        <f t="shared" si="9"/>
        <v>826.41</v>
      </c>
      <c r="K31" s="686">
        <v>15</v>
      </c>
      <c r="L31" s="176">
        <f t="shared" si="10"/>
        <v>55.094</v>
      </c>
      <c r="M31" s="176">
        <f t="shared" si="11"/>
        <v>826.41</v>
      </c>
      <c r="N31" s="686">
        <v>15</v>
      </c>
      <c r="O31" s="176">
        <f t="shared" si="12"/>
        <v>55.094</v>
      </c>
      <c r="P31" s="176">
        <f t="shared" si="13"/>
        <v>826.41</v>
      </c>
    </row>
    <row r="32" spans="1:19" ht="19.5" customHeight="1">
      <c r="A32" s="686">
        <v>15</v>
      </c>
      <c r="B32" s="119" t="s">
        <v>308</v>
      </c>
      <c r="C32" s="12">
        <v>7130610206</v>
      </c>
      <c r="D32" s="128" t="s">
        <v>458</v>
      </c>
      <c r="E32" s="686">
        <v>2</v>
      </c>
      <c r="F32" s="176">
        <f>VLOOKUP(C32,'SOR RATE'!A:D,4,0)/1000</f>
        <v>66.528</v>
      </c>
      <c r="G32" s="176">
        <f t="shared" si="7"/>
        <v>133.056</v>
      </c>
      <c r="H32" s="686">
        <v>2</v>
      </c>
      <c r="I32" s="176">
        <f t="shared" si="8"/>
        <v>66.528</v>
      </c>
      <c r="J32" s="176">
        <f t="shared" si="9"/>
        <v>133.056</v>
      </c>
      <c r="K32" s="686">
        <v>2</v>
      </c>
      <c r="L32" s="176">
        <f t="shared" si="10"/>
        <v>66.528</v>
      </c>
      <c r="M32" s="176">
        <f t="shared" si="11"/>
        <v>133.056</v>
      </c>
      <c r="N32" s="686">
        <v>2</v>
      </c>
      <c r="O32" s="176">
        <f t="shared" si="12"/>
        <v>66.528</v>
      </c>
      <c r="P32" s="176">
        <f t="shared" si="13"/>
        <v>133.056</v>
      </c>
      <c r="Q32" s="106"/>
      <c r="R32" s="64"/>
      <c r="S32" s="64"/>
    </row>
    <row r="33" spans="1:16" ht="18" customHeight="1">
      <c r="A33" s="686">
        <v>16</v>
      </c>
      <c r="B33" s="173" t="s">
        <v>455</v>
      </c>
      <c r="C33" s="685">
        <v>7130211158</v>
      </c>
      <c r="D33" s="686" t="s">
        <v>456</v>
      </c>
      <c r="E33" s="686">
        <v>1</v>
      </c>
      <c r="F33" s="176">
        <f>VLOOKUP(C33,'SOR RATE'!A:D,4,0)</f>
        <v>130</v>
      </c>
      <c r="G33" s="176">
        <f t="shared" si="7"/>
        <v>130</v>
      </c>
      <c r="H33" s="686">
        <v>1</v>
      </c>
      <c r="I33" s="176">
        <f t="shared" si="8"/>
        <v>130</v>
      </c>
      <c r="J33" s="176">
        <f t="shared" si="9"/>
        <v>130</v>
      </c>
      <c r="K33" s="686">
        <v>3</v>
      </c>
      <c r="L33" s="176">
        <f t="shared" si="10"/>
        <v>130</v>
      </c>
      <c r="M33" s="176">
        <f t="shared" si="11"/>
        <v>390</v>
      </c>
      <c r="N33" s="686">
        <v>3</v>
      </c>
      <c r="O33" s="176">
        <f t="shared" si="12"/>
        <v>130</v>
      </c>
      <c r="P33" s="176">
        <f t="shared" si="13"/>
        <v>390</v>
      </c>
    </row>
    <row r="34" spans="1:16" ht="18.75" customHeight="1">
      <c r="A34" s="686">
        <v>17</v>
      </c>
      <c r="B34" s="173" t="s">
        <v>457</v>
      </c>
      <c r="C34" s="685">
        <v>7130210809</v>
      </c>
      <c r="D34" s="686" t="s">
        <v>456</v>
      </c>
      <c r="E34" s="686">
        <v>1</v>
      </c>
      <c r="F34" s="176">
        <f>VLOOKUP(C34,'SOR RATE'!A:D,4,0)</f>
        <v>290</v>
      </c>
      <c r="G34" s="176">
        <f t="shared" si="7"/>
        <v>290</v>
      </c>
      <c r="H34" s="686">
        <v>1</v>
      </c>
      <c r="I34" s="176">
        <f t="shared" si="8"/>
        <v>290</v>
      </c>
      <c r="J34" s="176">
        <f t="shared" si="9"/>
        <v>290</v>
      </c>
      <c r="K34" s="686">
        <v>3</v>
      </c>
      <c r="L34" s="176">
        <f t="shared" si="10"/>
        <v>290</v>
      </c>
      <c r="M34" s="176">
        <f t="shared" si="11"/>
        <v>870</v>
      </c>
      <c r="N34" s="686">
        <v>3</v>
      </c>
      <c r="O34" s="176">
        <f t="shared" si="12"/>
        <v>290</v>
      </c>
      <c r="P34" s="176">
        <f t="shared" si="13"/>
        <v>870</v>
      </c>
    </row>
    <row r="35" spans="1:18" ht="18.75" customHeight="1">
      <c r="A35" s="686">
        <v>18</v>
      </c>
      <c r="B35" s="127" t="s">
        <v>781</v>
      </c>
      <c r="C35" s="685">
        <v>7130840029</v>
      </c>
      <c r="D35" s="686" t="s">
        <v>1553</v>
      </c>
      <c r="E35" s="686">
        <v>3</v>
      </c>
      <c r="F35" s="176">
        <f>VLOOKUP(C35,'SOR RATE'!A:D,4,0)</f>
        <v>425</v>
      </c>
      <c r="G35" s="176">
        <f t="shared" si="7"/>
        <v>1275</v>
      </c>
      <c r="H35" s="686">
        <v>3</v>
      </c>
      <c r="I35" s="176">
        <f t="shared" si="8"/>
        <v>425</v>
      </c>
      <c r="J35" s="176">
        <f t="shared" si="9"/>
        <v>1275</v>
      </c>
      <c r="K35" s="686">
        <v>3</v>
      </c>
      <c r="L35" s="176">
        <f t="shared" si="10"/>
        <v>425</v>
      </c>
      <c r="M35" s="176">
        <f t="shared" si="11"/>
        <v>1275</v>
      </c>
      <c r="N35" s="686">
        <v>3</v>
      </c>
      <c r="O35" s="176">
        <f t="shared" si="12"/>
        <v>425</v>
      </c>
      <c r="P35" s="176">
        <f t="shared" si="13"/>
        <v>1275</v>
      </c>
      <c r="R35" s="1072" t="s">
        <v>1277</v>
      </c>
    </row>
    <row r="36" spans="1:16" ht="17.25" customHeight="1">
      <c r="A36" s="1254">
        <v>19</v>
      </c>
      <c r="B36" s="127" t="s">
        <v>1359</v>
      </c>
      <c r="C36" s="685"/>
      <c r="D36" s="686" t="s">
        <v>458</v>
      </c>
      <c r="E36" s="17">
        <v>14</v>
      </c>
      <c r="F36" s="176"/>
      <c r="G36" s="176"/>
      <c r="H36" s="17">
        <v>14</v>
      </c>
      <c r="I36" s="176"/>
      <c r="J36" s="176"/>
      <c r="K36" s="17">
        <v>14</v>
      </c>
      <c r="L36" s="176"/>
      <c r="M36" s="176"/>
      <c r="N36" s="17">
        <v>14</v>
      </c>
      <c r="O36" s="176"/>
      <c r="P36" s="176"/>
    </row>
    <row r="37" spans="1:16" ht="17.25" customHeight="1">
      <c r="A37" s="1255"/>
      <c r="B37" s="702" t="s">
        <v>438</v>
      </c>
      <c r="C37" s="685">
        <v>7130620609</v>
      </c>
      <c r="D37" s="686" t="s">
        <v>458</v>
      </c>
      <c r="E37" s="686">
        <v>1</v>
      </c>
      <c r="F37" s="176">
        <f>VLOOKUP(C37,'SOR RATE'!A:D,4,0)</f>
        <v>64</v>
      </c>
      <c r="G37" s="176">
        <f>F37*E37</f>
        <v>64</v>
      </c>
      <c r="H37" s="686">
        <v>1</v>
      </c>
      <c r="I37" s="176">
        <f>+F37</f>
        <v>64</v>
      </c>
      <c r="J37" s="176">
        <f>I37*H37</f>
        <v>64</v>
      </c>
      <c r="K37" s="686">
        <v>1</v>
      </c>
      <c r="L37" s="176">
        <f>+F37</f>
        <v>64</v>
      </c>
      <c r="M37" s="176">
        <f>L37*K37</f>
        <v>64</v>
      </c>
      <c r="N37" s="686">
        <v>1</v>
      </c>
      <c r="O37" s="176">
        <f>+F37</f>
        <v>64</v>
      </c>
      <c r="P37" s="176">
        <f>O37*N37</f>
        <v>64</v>
      </c>
    </row>
    <row r="38" spans="1:16" ht="17.25" customHeight="1">
      <c r="A38" s="1255"/>
      <c r="B38" s="702" t="s">
        <v>1336</v>
      </c>
      <c r="C38" s="685">
        <v>7130620614</v>
      </c>
      <c r="D38" s="686" t="s">
        <v>458</v>
      </c>
      <c r="E38" s="686">
        <v>4</v>
      </c>
      <c r="F38" s="176">
        <f>VLOOKUP(C38,'SOR RATE'!A:D,4,0)</f>
        <v>63</v>
      </c>
      <c r="G38" s="176">
        <f>F38*E38</f>
        <v>252</v>
      </c>
      <c r="H38" s="686">
        <v>4</v>
      </c>
      <c r="I38" s="176">
        <f>+F38</f>
        <v>63</v>
      </c>
      <c r="J38" s="176">
        <f>I38*H38</f>
        <v>252</v>
      </c>
      <c r="K38" s="686">
        <v>4</v>
      </c>
      <c r="L38" s="176">
        <f>+F38</f>
        <v>63</v>
      </c>
      <c r="M38" s="176">
        <f>L38*K38</f>
        <v>252</v>
      </c>
      <c r="N38" s="686">
        <v>4</v>
      </c>
      <c r="O38" s="176">
        <f>+F38</f>
        <v>63</v>
      </c>
      <c r="P38" s="176">
        <f>O38*N38</f>
        <v>252</v>
      </c>
    </row>
    <row r="39" spans="1:16" ht="17.25" customHeight="1">
      <c r="A39" s="1255"/>
      <c r="B39" s="702" t="s">
        <v>1338</v>
      </c>
      <c r="C39" s="685">
        <v>7130620625</v>
      </c>
      <c r="D39" s="686" t="s">
        <v>458</v>
      </c>
      <c r="E39" s="686">
        <v>4</v>
      </c>
      <c r="F39" s="176">
        <f>VLOOKUP(C39,'SOR RATE'!A:D,4,0)</f>
        <v>62</v>
      </c>
      <c r="G39" s="176">
        <f>F39*E39</f>
        <v>248</v>
      </c>
      <c r="H39" s="686">
        <v>4</v>
      </c>
      <c r="I39" s="176">
        <f>+F39</f>
        <v>62</v>
      </c>
      <c r="J39" s="176">
        <f>I39*H39</f>
        <v>248</v>
      </c>
      <c r="K39" s="686">
        <v>4</v>
      </c>
      <c r="L39" s="176">
        <f>+F39</f>
        <v>62</v>
      </c>
      <c r="M39" s="176">
        <f>L39*K39</f>
        <v>248</v>
      </c>
      <c r="N39" s="686">
        <v>4</v>
      </c>
      <c r="O39" s="176">
        <f>+F39</f>
        <v>62</v>
      </c>
      <c r="P39" s="176">
        <f>O39*N39</f>
        <v>248</v>
      </c>
    </row>
    <row r="40" spans="1:16" ht="17.25" customHeight="1">
      <c r="A40" s="1256"/>
      <c r="B40" s="702" t="s">
        <v>1345</v>
      </c>
      <c r="C40" s="685">
        <v>7130620631</v>
      </c>
      <c r="D40" s="686" t="s">
        <v>458</v>
      </c>
      <c r="E40" s="686">
        <v>5</v>
      </c>
      <c r="F40" s="176">
        <f>VLOOKUP(C40,'SOR RATE'!A:D,4,0)</f>
        <v>62</v>
      </c>
      <c r="G40" s="176">
        <f>F40*E40</f>
        <v>310</v>
      </c>
      <c r="H40" s="686">
        <v>5</v>
      </c>
      <c r="I40" s="176">
        <f>+F40</f>
        <v>62</v>
      </c>
      <c r="J40" s="176">
        <f>I40*H40</f>
        <v>310</v>
      </c>
      <c r="K40" s="686">
        <v>5</v>
      </c>
      <c r="L40" s="176">
        <f>+F40</f>
        <v>62</v>
      </c>
      <c r="M40" s="176">
        <f>L40*K40</f>
        <v>310</v>
      </c>
      <c r="N40" s="686">
        <v>5</v>
      </c>
      <c r="O40" s="176">
        <f>+F40</f>
        <v>62</v>
      </c>
      <c r="P40" s="176">
        <f>O40*N40</f>
        <v>310</v>
      </c>
    </row>
    <row r="41" spans="1:16" ht="17.25" customHeight="1">
      <c r="A41" s="686">
        <v>20</v>
      </c>
      <c r="B41" s="173" t="s">
        <v>1381</v>
      </c>
      <c r="C41" s="685">
        <v>7131920254</v>
      </c>
      <c r="D41" s="686" t="s">
        <v>452</v>
      </c>
      <c r="E41" s="686">
        <v>1</v>
      </c>
      <c r="F41" s="176">
        <f>VLOOKUP(C41,'SOR RATE'!A:D,4,0)</f>
        <v>1634</v>
      </c>
      <c r="G41" s="176">
        <f>F41*E41</f>
        <v>1634</v>
      </c>
      <c r="H41" s="687" t="s">
        <v>453</v>
      </c>
      <c r="I41" s="176"/>
      <c r="J41" s="176"/>
      <c r="K41" s="687" t="s">
        <v>453</v>
      </c>
      <c r="L41" s="176"/>
      <c r="M41" s="176"/>
      <c r="N41" s="687" t="s">
        <v>453</v>
      </c>
      <c r="O41" s="176"/>
      <c r="P41" s="176"/>
    </row>
    <row r="42" spans="1:16" ht="17.25" customHeight="1">
      <c r="A42" s="686">
        <v>21</v>
      </c>
      <c r="B42" s="174" t="s">
        <v>538</v>
      </c>
      <c r="C42" s="699"/>
      <c r="D42" s="700"/>
      <c r="E42" s="700"/>
      <c r="F42" s="700"/>
      <c r="G42" s="700"/>
      <c r="H42" s="700"/>
      <c r="I42" s="700"/>
      <c r="J42" s="700"/>
      <c r="K42" s="700"/>
      <c r="L42" s="700"/>
      <c r="M42" s="700"/>
      <c r="N42" s="700"/>
      <c r="O42" s="700"/>
      <c r="P42" s="701"/>
    </row>
    <row r="43" spans="1:16" ht="17.25" customHeight="1">
      <c r="A43" s="686" t="s">
        <v>442</v>
      </c>
      <c r="B43" s="173" t="s">
        <v>539</v>
      </c>
      <c r="C43" s="685">
        <v>7130311008</v>
      </c>
      <c r="D43" s="686" t="s">
        <v>1368</v>
      </c>
      <c r="E43" s="686">
        <v>120</v>
      </c>
      <c r="F43" s="176">
        <f>VLOOKUP(C43,'SOR RATE'!A:D,4,0)/1000</f>
        <v>15.99</v>
      </c>
      <c r="G43" s="176">
        <f>F43*E43</f>
        <v>1918.8</v>
      </c>
      <c r="H43" s="687" t="s">
        <v>453</v>
      </c>
      <c r="I43" s="176"/>
      <c r="J43" s="176"/>
      <c r="K43" s="687"/>
      <c r="L43" s="176"/>
      <c r="M43" s="176"/>
      <c r="N43" s="687" t="s">
        <v>453</v>
      </c>
      <c r="O43" s="176"/>
      <c r="P43" s="176"/>
    </row>
    <row r="44" spans="1:16" ht="17.25" customHeight="1">
      <c r="A44" s="686" t="s">
        <v>460</v>
      </c>
      <c r="B44" s="173" t="s">
        <v>540</v>
      </c>
      <c r="C44" s="685">
        <v>7130310021</v>
      </c>
      <c r="D44" s="686" t="s">
        <v>1368</v>
      </c>
      <c r="E44" s="687" t="s">
        <v>453</v>
      </c>
      <c r="F44" s="176"/>
      <c r="G44" s="176"/>
      <c r="H44" s="686">
        <v>80</v>
      </c>
      <c r="I44" s="176">
        <f>VLOOKUP(C44,'SOR RATE'!A:D,4,0)/1000</f>
        <v>39.632</v>
      </c>
      <c r="J44" s="176">
        <f>I44*H44</f>
        <v>3170.56</v>
      </c>
      <c r="K44" s="686"/>
      <c r="L44" s="176"/>
      <c r="M44" s="176"/>
      <c r="N44" s="687"/>
      <c r="O44" s="176"/>
      <c r="P44" s="176"/>
    </row>
    <row r="45" spans="1:16" ht="17.25" customHeight="1">
      <c r="A45" s="686" t="s">
        <v>131</v>
      </c>
      <c r="B45" s="173" t="s">
        <v>541</v>
      </c>
      <c r="C45" s="685">
        <v>7130311009</v>
      </c>
      <c r="D45" s="686" t="s">
        <v>1368</v>
      </c>
      <c r="E45" s="687" t="s">
        <v>453</v>
      </c>
      <c r="F45" s="176"/>
      <c r="G45" s="176"/>
      <c r="H45" s="687">
        <v>40</v>
      </c>
      <c r="I45" s="176">
        <f>VLOOKUP(C45,'SOR RATE'!A:D,4,0)/1000</f>
        <v>38.685</v>
      </c>
      <c r="J45" s="176">
        <f>I45*H45</f>
        <v>1547.4</v>
      </c>
      <c r="K45" s="686">
        <v>120</v>
      </c>
      <c r="L45" s="176">
        <f>+I45</f>
        <v>38.685</v>
      </c>
      <c r="M45" s="176">
        <f>L45*K45</f>
        <v>4642.200000000001</v>
      </c>
      <c r="N45" s="686"/>
      <c r="O45" s="176"/>
      <c r="P45" s="176"/>
    </row>
    <row r="46" spans="1:16" ht="17.25" customHeight="1">
      <c r="A46" s="686" t="s">
        <v>132</v>
      </c>
      <c r="B46" s="173" t="s">
        <v>1384</v>
      </c>
      <c r="C46" s="685">
        <v>7130311010</v>
      </c>
      <c r="D46" s="686" t="s">
        <v>1368</v>
      </c>
      <c r="E46" s="687"/>
      <c r="F46" s="176"/>
      <c r="G46" s="176"/>
      <c r="H46" s="687"/>
      <c r="I46" s="176"/>
      <c r="J46" s="176"/>
      <c r="K46" s="686">
        <v>40</v>
      </c>
      <c r="L46" s="176">
        <f>VLOOKUP(C46,'SOR RATE'!A:D,4,0)/1000</f>
        <v>52.581</v>
      </c>
      <c r="M46" s="176">
        <f>L46*K46</f>
        <v>2103.2400000000002</v>
      </c>
      <c r="N46" s="686">
        <v>120</v>
      </c>
      <c r="O46" s="176">
        <f>+L46</f>
        <v>52.581</v>
      </c>
      <c r="P46" s="176">
        <f>N46*O46</f>
        <v>6309.72</v>
      </c>
    </row>
    <row r="47" spans="1:16" ht="17.25" customHeight="1">
      <c r="A47" s="684" t="s">
        <v>133</v>
      </c>
      <c r="B47" s="173" t="s">
        <v>1385</v>
      </c>
      <c r="C47" s="685">
        <v>7130311011</v>
      </c>
      <c r="D47" s="686" t="s">
        <v>1368</v>
      </c>
      <c r="E47" s="686"/>
      <c r="F47" s="176"/>
      <c r="G47" s="176"/>
      <c r="H47" s="686"/>
      <c r="I47" s="176"/>
      <c r="J47" s="176"/>
      <c r="K47" s="686"/>
      <c r="L47" s="176"/>
      <c r="M47" s="176"/>
      <c r="N47" s="686">
        <v>40</v>
      </c>
      <c r="O47" s="176">
        <f>VLOOKUP(C47,'SOR RATE'!A:D,4,0)/1000</f>
        <v>101.586</v>
      </c>
      <c r="P47" s="176">
        <f>N47*O47</f>
        <v>4063.44</v>
      </c>
    </row>
    <row r="48" spans="1:16" ht="49.5" customHeight="1">
      <c r="A48" s="128">
        <v>22</v>
      </c>
      <c r="B48" s="126" t="s">
        <v>1387</v>
      </c>
      <c r="C48" s="699"/>
      <c r="D48" s="700"/>
      <c r="E48" s="700"/>
      <c r="F48" s="700"/>
      <c r="G48" s="700"/>
      <c r="H48" s="700"/>
      <c r="I48" s="700"/>
      <c r="J48" s="700"/>
      <c r="K48" s="700"/>
      <c r="L48" s="700"/>
      <c r="M48" s="700"/>
      <c r="N48" s="700"/>
      <c r="O48" s="700"/>
      <c r="P48" s="701"/>
    </row>
    <row r="49" spans="1:16" ht="18" customHeight="1">
      <c r="A49" s="686" t="s">
        <v>442</v>
      </c>
      <c r="B49" s="173" t="s">
        <v>1388</v>
      </c>
      <c r="C49" s="685">
        <v>7131950065</v>
      </c>
      <c r="D49" s="686" t="s">
        <v>1553</v>
      </c>
      <c r="E49" s="686"/>
      <c r="F49" s="176"/>
      <c r="G49" s="176"/>
      <c r="H49" s="686">
        <v>1</v>
      </c>
      <c r="I49" s="176">
        <f>VLOOKUP(C49,'SOR RATE'!A:D,4,0)</f>
        <v>13758</v>
      </c>
      <c r="J49" s="176">
        <f>I49*H49</f>
        <v>13758</v>
      </c>
      <c r="K49" s="687" t="s">
        <v>453</v>
      </c>
      <c r="L49" s="176"/>
      <c r="M49" s="176"/>
      <c r="N49" s="687"/>
      <c r="O49" s="176"/>
      <c r="P49" s="176"/>
    </row>
    <row r="50" spans="1:16" ht="18" customHeight="1">
      <c r="A50" s="686" t="s">
        <v>460</v>
      </c>
      <c r="B50" s="173" t="s">
        <v>1389</v>
      </c>
      <c r="C50" s="685">
        <v>7131950105</v>
      </c>
      <c r="D50" s="686" t="s">
        <v>1553</v>
      </c>
      <c r="E50" s="686"/>
      <c r="F50" s="176"/>
      <c r="G50" s="176"/>
      <c r="H50" s="686"/>
      <c r="I50" s="176"/>
      <c r="J50" s="703"/>
      <c r="K50" s="686">
        <v>1</v>
      </c>
      <c r="L50" s="176">
        <f>VLOOKUP(C50,'SOR RATE'!A:D,4,0)</f>
        <v>17198</v>
      </c>
      <c r="M50" s="176">
        <f>L50*K50</f>
        <v>17198</v>
      </c>
      <c r="N50" s="686"/>
      <c r="O50" s="176"/>
      <c r="P50" s="176"/>
    </row>
    <row r="51" spans="1:16" ht="18" customHeight="1">
      <c r="A51" s="686" t="s">
        <v>131</v>
      </c>
      <c r="B51" s="173" t="s">
        <v>1390</v>
      </c>
      <c r="C51" s="685">
        <v>7131950200</v>
      </c>
      <c r="D51" s="686" t="s">
        <v>1553</v>
      </c>
      <c r="E51" s="686"/>
      <c r="F51" s="176"/>
      <c r="G51" s="176"/>
      <c r="H51" s="686"/>
      <c r="I51" s="176"/>
      <c r="J51" s="176"/>
      <c r="K51" s="686"/>
      <c r="L51" s="176"/>
      <c r="M51" s="176"/>
      <c r="N51" s="686">
        <v>1</v>
      </c>
      <c r="O51" s="176">
        <f>VLOOKUP(C51,'SOR RATE'!A:D,4,0)</f>
        <v>34396</v>
      </c>
      <c r="P51" s="176">
        <f>O51*N51</f>
        <v>34396</v>
      </c>
    </row>
    <row r="52" spans="1:16" ht="18" customHeight="1">
      <c r="A52" s="686">
        <v>23</v>
      </c>
      <c r="B52" s="173" t="s">
        <v>1391</v>
      </c>
      <c r="C52" s="685">
        <v>7131930221</v>
      </c>
      <c r="D52" s="686" t="s">
        <v>1553</v>
      </c>
      <c r="E52" s="687" t="s">
        <v>453</v>
      </c>
      <c r="F52" s="176"/>
      <c r="G52" s="176"/>
      <c r="H52" s="687" t="s">
        <v>453</v>
      </c>
      <c r="I52" s="176"/>
      <c r="J52" s="176"/>
      <c r="K52" s="687">
        <v>1</v>
      </c>
      <c r="L52" s="176">
        <f>VLOOKUP(C52,'SOR RATE'!A:D,4,0)</f>
        <v>7750</v>
      </c>
      <c r="M52" s="176">
        <f>L52*K52</f>
        <v>7750</v>
      </c>
      <c r="N52" s="687">
        <v>1</v>
      </c>
      <c r="O52" s="176">
        <f>VLOOKUP(C52,'SOR RATE'!A:D,4,0)</f>
        <v>7750</v>
      </c>
      <c r="P52" s="176">
        <f>O52*N52</f>
        <v>7750</v>
      </c>
    </row>
    <row r="53" spans="1:18" ht="18.75" customHeight="1">
      <c r="A53" s="17">
        <v>24</v>
      </c>
      <c r="B53" s="125" t="s">
        <v>1576</v>
      </c>
      <c r="C53" s="799"/>
      <c r="D53" s="118"/>
      <c r="E53" s="17"/>
      <c r="F53" s="17"/>
      <c r="G53" s="130">
        <f>SUM(G9:G52)</f>
        <v>126190.3638</v>
      </c>
      <c r="H53" s="130"/>
      <c r="I53" s="130"/>
      <c r="J53" s="130">
        <f>SUM(J9:J52)</f>
        <v>175099.52380000002</v>
      </c>
      <c r="K53" s="130"/>
      <c r="L53" s="130"/>
      <c r="M53" s="130">
        <f>SUM(M9:M52)</f>
        <v>219957.00380000003</v>
      </c>
      <c r="N53" s="130"/>
      <c r="O53" s="130"/>
      <c r="P53" s="130">
        <f>SUM(P9:P52)</f>
        <v>342476.7238</v>
      </c>
      <c r="Q53" s="101"/>
      <c r="R53" s="7"/>
    </row>
    <row r="54" spans="1:18" ht="18" customHeight="1">
      <c r="A54" s="175">
        <v>25</v>
      </c>
      <c r="B54" s="119" t="s">
        <v>1575</v>
      </c>
      <c r="C54" s="800"/>
      <c r="D54" s="707"/>
      <c r="E54" s="707"/>
      <c r="F54" s="708">
        <v>0.09</v>
      </c>
      <c r="G54" s="696">
        <f>G53*F54</f>
        <v>11357.132742</v>
      </c>
      <c r="H54" s="709"/>
      <c r="I54" s="708">
        <v>0.09</v>
      </c>
      <c r="J54" s="696">
        <f>J53*I54</f>
        <v>15758.957142000001</v>
      </c>
      <c r="K54" s="709"/>
      <c r="L54" s="708">
        <v>0.09</v>
      </c>
      <c r="M54" s="696">
        <f>M53*L54</f>
        <v>19796.130342000004</v>
      </c>
      <c r="N54" s="709"/>
      <c r="O54" s="708">
        <v>0.09</v>
      </c>
      <c r="P54" s="696">
        <f>P53*O54</f>
        <v>30822.905141999996</v>
      </c>
      <c r="Q54" s="101"/>
      <c r="R54" s="97"/>
    </row>
    <row r="55" spans="1:16" ht="34.5" customHeight="1">
      <c r="A55" s="171">
        <v>26</v>
      </c>
      <c r="B55" s="698" t="s">
        <v>1372</v>
      </c>
      <c r="C55" s="712"/>
      <c r="D55" s="171" t="s">
        <v>454</v>
      </c>
      <c r="E55" s="171">
        <v>2.1</v>
      </c>
      <c r="F55" s="172">
        <f>1664*1.27*1.0891*1.086275*1.1112*1.0685</f>
        <v>2968.460981603261</v>
      </c>
      <c r="G55" s="172">
        <f>F55*E55</f>
        <v>6233.768061366849</v>
      </c>
      <c r="H55" s="171">
        <f>+E55</f>
        <v>2.1</v>
      </c>
      <c r="I55" s="172">
        <f>+F55</f>
        <v>2968.460981603261</v>
      </c>
      <c r="J55" s="172">
        <f>I55*H55</f>
        <v>6233.768061366849</v>
      </c>
      <c r="K55" s="713">
        <f>+H55</f>
        <v>2.1</v>
      </c>
      <c r="L55" s="172">
        <f>+I55</f>
        <v>2968.460981603261</v>
      </c>
      <c r="M55" s="172">
        <f>L55*K55</f>
        <v>6233.768061366849</v>
      </c>
      <c r="N55" s="798">
        <f>+K55</f>
        <v>2.1</v>
      </c>
      <c r="O55" s="172">
        <f>+L55</f>
        <v>2968.460981603261</v>
      </c>
      <c r="P55" s="172">
        <f>O55*N55</f>
        <v>6233.768061366849</v>
      </c>
    </row>
    <row r="56" spans="1:16" ht="33" customHeight="1">
      <c r="A56" s="171">
        <v>27</v>
      </c>
      <c r="B56" s="698" t="s">
        <v>395</v>
      </c>
      <c r="C56" s="712"/>
      <c r="D56" s="171" t="s">
        <v>452</v>
      </c>
      <c r="E56" s="171">
        <v>1</v>
      </c>
      <c r="F56" s="172">
        <f>3075*1.27*1.0891*1.086275*1.1112*1.0685</f>
        <v>5485.587450979585</v>
      </c>
      <c r="G56" s="172">
        <f>F56*E56</f>
        <v>5485.587450979585</v>
      </c>
      <c r="H56" s="171">
        <v>1</v>
      </c>
      <c r="I56" s="172">
        <f>+F56</f>
        <v>5485.587450979585</v>
      </c>
      <c r="J56" s="172">
        <f>I56*H56</f>
        <v>5485.587450979585</v>
      </c>
      <c r="K56" s="713">
        <v>1</v>
      </c>
      <c r="L56" s="172">
        <f>+F56</f>
        <v>5485.587450979585</v>
      </c>
      <c r="M56" s="172">
        <f>L56*K56</f>
        <v>5485.587450979585</v>
      </c>
      <c r="N56" s="686">
        <v>1</v>
      </c>
      <c r="O56" s="172">
        <f>+L56</f>
        <v>5485.587450979585</v>
      </c>
      <c r="P56" s="172">
        <f>O56*N56</f>
        <v>5485.587450979585</v>
      </c>
    </row>
    <row r="57" spans="1:17" ht="21" customHeight="1">
      <c r="A57" s="686">
        <v>28</v>
      </c>
      <c r="B57" s="173" t="s">
        <v>396</v>
      </c>
      <c r="C57" s="685"/>
      <c r="D57" s="686"/>
      <c r="E57" s="686"/>
      <c r="F57" s="686"/>
      <c r="G57" s="176">
        <v>7965.45</v>
      </c>
      <c r="H57" s="686"/>
      <c r="I57" s="686"/>
      <c r="J57" s="176">
        <v>8367.24</v>
      </c>
      <c r="K57" s="686"/>
      <c r="L57" s="686"/>
      <c r="M57" s="176">
        <f>+J57</f>
        <v>8367.24</v>
      </c>
      <c r="N57" s="686"/>
      <c r="O57" s="686"/>
      <c r="P57" s="176">
        <v>10382.45</v>
      </c>
      <c r="Q57" s="294"/>
    </row>
    <row r="58" spans="1:16" ht="63.75" customHeight="1">
      <c r="A58" s="686">
        <v>29</v>
      </c>
      <c r="B58" s="173" t="s">
        <v>397</v>
      </c>
      <c r="C58" s="712"/>
      <c r="D58" s="686"/>
      <c r="E58" s="686"/>
      <c r="F58" s="686"/>
      <c r="G58" s="176">
        <f>1.1*1.1*2363*1.2*1.1*1.1797*1.1402*0.9368</f>
        <v>4755.7883787147575</v>
      </c>
      <c r="H58" s="686"/>
      <c r="I58" s="686"/>
      <c r="J58" s="176">
        <f>1.1*1.1*2616*1.2*1.1*1.1797*1.1402*0.9368</f>
        <v>5264.9777396182</v>
      </c>
      <c r="K58" s="686"/>
      <c r="L58" s="686"/>
      <c r="M58" s="176">
        <f>+J58</f>
        <v>5264.9777396182</v>
      </c>
      <c r="N58" s="686"/>
      <c r="O58" s="686"/>
      <c r="P58" s="176">
        <f>+M58</f>
        <v>5264.9777396182</v>
      </c>
    </row>
    <row r="59" spans="1:17" ht="19.5" customHeight="1">
      <c r="A59" s="17">
        <v>30</v>
      </c>
      <c r="B59" s="125" t="s">
        <v>1577</v>
      </c>
      <c r="C59" s="712"/>
      <c r="D59" s="686"/>
      <c r="E59" s="686"/>
      <c r="F59" s="686"/>
      <c r="G59" s="130">
        <f>G53+G54+G55+G56+G57+G58</f>
        <v>161988.0904330612</v>
      </c>
      <c r="H59" s="130"/>
      <c r="I59" s="130"/>
      <c r="J59" s="130">
        <f>J53+J54+J55+J56+J57+J58</f>
        <v>216210.05419396464</v>
      </c>
      <c r="K59" s="130"/>
      <c r="L59" s="130"/>
      <c r="M59" s="130">
        <f>M53+M54+M55+M56+M57+M58</f>
        <v>265104.7073939647</v>
      </c>
      <c r="N59" s="130"/>
      <c r="O59" s="130"/>
      <c r="P59" s="130">
        <f>P53+P54+P55+P56+P57+P58</f>
        <v>400666.41219396464</v>
      </c>
      <c r="Q59" s="102"/>
    </row>
    <row r="60" spans="1:17" ht="50.25" customHeight="1">
      <c r="A60" s="686">
        <v>31</v>
      </c>
      <c r="B60" s="119" t="s">
        <v>1578</v>
      </c>
      <c r="C60" s="712"/>
      <c r="D60" s="686"/>
      <c r="E60" s="686"/>
      <c r="F60" s="686">
        <v>0.11</v>
      </c>
      <c r="G60" s="176">
        <f>G53*F60</f>
        <v>13880.940018000001</v>
      </c>
      <c r="H60" s="686"/>
      <c r="I60" s="686">
        <v>0.11</v>
      </c>
      <c r="J60" s="176">
        <f>J53*I60</f>
        <v>19260.947618000002</v>
      </c>
      <c r="K60" s="686"/>
      <c r="L60" s="686">
        <v>0.11</v>
      </c>
      <c r="M60" s="176">
        <f>M53*L60</f>
        <v>24195.270418000004</v>
      </c>
      <c r="N60" s="686"/>
      <c r="O60" s="686">
        <v>0.11</v>
      </c>
      <c r="P60" s="176">
        <f>P53*O60</f>
        <v>37672.439618</v>
      </c>
      <c r="Q60" s="102"/>
    </row>
    <row r="61" spans="1:16" ht="22.5" customHeight="1">
      <c r="A61" s="128">
        <v>32</v>
      </c>
      <c r="B61" s="127" t="s">
        <v>1395</v>
      </c>
      <c r="C61" s="714"/>
      <c r="D61" s="128"/>
      <c r="E61" s="128"/>
      <c r="F61" s="128"/>
      <c r="G61" s="696">
        <f>G59+G60</f>
        <v>175869.0304510612</v>
      </c>
      <c r="H61" s="696"/>
      <c r="I61" s="696"/>
      <c r="J61" s="696">
        <f>J59+J60</f>
        <v>235471.00181196464</v>
      </c>
      <c r="K61" s="696"/>
      <c r="L61" s="696"/>
      <c r="M61" s="696">
        <f>M59+M60</f>
        <v>289299.9778119647</v>
      </c>
      <c r="N61" s="696"/>
      <c r="O61" s="696"/>
      <c r="P61" s="696">
        <f>P59+P60</f>
        <v>438338.85181196465</v>
      </c>
    </row>
    <row r="62" spans="1:16" ht="36" customHeight="1">
      <c r="A62" s="17">
        <v>33</v>
      </c>
      <c r="B62" s="132" t="s">
        <v>1487</v>
      </c>
      <c r="C62" s="715"/>
      <c r="D62" s="17"/>
      <c r="E62" s="17"/>
      <c r="F62" s="17"/>
      <c r="G62" s="4">
        <f>ROUND(G61,0)</f>
        <v>175869</v>
      </c>
      <c r="H62" s="4"/>
      <c r="I62" s="4"/>
      <c r="J62" s="4">
        <f>ROUND(J61,0)</f>
        <v>235471</v>
      </c>
      <c r="K62" s="4"/>
      <c r="L62" s="4"/>
      <c r="M62" s="4">
        <f>ROUND(M61,0)</f>
        <v>289300</v>
      </c>
      <c r="N62" s="4"/>
      <c r="O62" s="4"/>
      <c r="P62" s="4">
        <f>ROUND(P61,0)</f>
        <v>438339</v>
      </c>
    </row>
    <row r="63" spans="1:16" ht="12.75" customHeight="1">
      <c r="A63" s="75"/>
      <c r="B63" s="39"/>
      <c r="C63" s="801"/>
      <c r="D63" s="75"/>
      <c r="E63" s="75"/>
      <c r="F63" s="75"/>
      <c r="G63" s="27"/>
      <c r="H63" s="75"/>
      <c r="I63" s="75"/>
      <c r="J63" s="27"/>
      <c r="K63" s="75"/>
      <c r="L63" s="75"/>
      <c r="M63" s="27"/>
      <c r="N63" s="75"/>
      <c r="O63" s="75"/>
      <c r="P63" s="27"/>
    </row>
    <row r="64" spans="1:16" ht="19.5" customHeight="1">
      <c r="A64" s="716"/>
      <c r="B64" s="1286" t="s">
        <v>193</v>
      </c>
      <c r="C64" s="1286"/>
      <c r="D64" s="1286"/>
      <c r="E64" s="1286"/>
      <c r="F64" s="1286"/>
      <c r="G64" s="1286"/>
      <c r="H64" s="1286"/>
      <c r="I64" s="44"/>
      <c r="J64" s="44"/>
      <c r="K64" s="44"/>
      <c r="L64" s="44"/>
      <c r="M64" s="44"/>
      <c r="N64" s="44"/>
      <c r="O64" s="44"/>
      <c r="P64" s="44"/>
    </row>
    <row r="65" spans="2:8" ht="18.75" customHeight="1">
      <c r="B65" s="1287" t="s">
        <v>194</v>
      </c>
      <c r="C65" s="1287"/>
      <c r="D65" s="1287"/>
      <c r="E65" s="1287"/>
      <c r="F65" s="1287"/>
      <c r="G65" s="1287"/>
      <c r="H65" s="1287"/>
    </row>
    <row r="67" spans="2:8" ht="34.5" customHeight="1">
      <c r="B67" s="1253" t="s">
        <v>1398</v>
      </c>
      <c r="C67" s="1253"/>
      <c r="D67" s="1253"/>
      <c r="E67" s="1253"/>
      <c r="F67" s="1253"/>
      <c r="G67" s="1253"/>
      <c r="H67" s="1253"/>
    </row>
    <row r="68" spans="1:16" ht="12.75">
      <c r="A68" s="89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 ht="12.75">
      <c r="A69" s="89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1:16" ht="12.75">
      <c r="A70" s="89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16" ht="12.75">
      <c r="A71" s="8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1:16" ht="12.75">
      <c r="A72" s="8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ht="12.75">
      <c r="A73" s="89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ht="12.75">
      <c r="A74" s="89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ht="12.75">
      <c r="A75" s="89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 spans="1:16" ht="12.75">
      <c r="A76" s="89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ht="12.75">
      <c r="A77" s="89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ht="12.75">
      <c r="A78" s="89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ht="12.75">
      <c r="A79" s="89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1:16" ht="12.75">
      <c r="A80" s="89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6" ht="12.75">
      <c r="A81" s="89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1:16" ht="12.75">
      <c r="A82" s="89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6" ht="12.75">
      <c r="A83" s="89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1:16" ht="12.75">
      <c r="A84" s="89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6" ht="12.75">
      <c r="A85" s="89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 spans="1:16" ht="12.75">
      <c r="A86" s="89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 spans="1:16" ht="12.75">
      <c r="A87" s="89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 spans="1:16" ht="12.75">
      <c r="A88" s="89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 spans="1:16" ht="12.75">
      <c r="A89" s="89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 spans="1:16" ht="12.75">
      <c r="A90" s="89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 ht="12.75">
      <c r="A91" s="89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16" ht="12.75">
      <c r="A92" s="89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 spans="1:16" ht="12.75">
      <c r="A93" s="89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 spans="1:16" ht="12.75">
      <c r="A94" s="89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 spans="1:16" ht="15.75">
      <c r="A95" s="89"/>
      <c r="B95" s="750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ht="12.75">
      <c r="A96" s="89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1:16" ht="12.75">
      <c r="A97" s="89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 spans="1:16" ht="15">
      <c r="A98" s="717"/>
      <c r="B98" s="69"/>
      <c r="C98" s="718"/>
      <c r="D98" s="717"/>
      <c r="E98" s="717"/>
      <c r="F98" s="719"/>
      <c r="G98" s="719"/>
      <c r="H98" s="720"/>
      <c r="I98" s="719"/>
      <c r="J98" s="719"/>
      <c r="K98" s="720"/>
      <c r="L98" s="719"/>
      <c r="M98" s="719"/>
      <c r="N98" s="720"/>
      <c r="O98" s="719"/>
      <c r="P98" s="719"/>
    </row>
    <row r="99" spans="1:16" ht="12.75">
      <c r="A99" s="89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 spans="1:16" ht="12.75">
      <c r="A100" s="89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</row>
    <row r="101" spans="1:16" ht="12.75">
      <c r="A101" s="89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1:16" ht="12.75">
      <c r="A102" s="89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</row>
    <row r="103" spans="1:16" ht="12.75">
      <c r="A103" s="89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</row>
    <row r="104" spans="1:16" ht="12.75">
      <c r="A104" s="89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</row>
    <row r="105" spans="1:16" ht="12.75">
      <c r="A105" s="89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</row>
    <row r="106" spans="1:16" ht="12.75">
      <c r="A106" s="89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</row>
    <row r="107" spans="1:16" ht="12.75">
      <c r="A107" s="89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</row>
    <row r="108" spans="1:16" ht="12.75">
      <c r="A108" s="89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</row>
    <row r="109" spans="1:16" ht="12.75">
      <c r="A109" s="89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</row>
    <row r="110" spans="1:16" ht="12.75">
      <c r="A110" s="89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</row>
    <row r="111" spans="1:16" ht="12.75">
      <c r="A111" s="89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</row>
    <row r="112" spans="1:16" ht="12.75">
      <c r="A112" s="89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</row>
    <row r="113" spans="1:16" ht="12.75">
      <c r="A113" s="89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</row>
    <row r="114" spans="1:16" ht="12.75">
      <c r="A114" s="89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</row>
    <row r="115" spans="1:16" ht="15.75">
      <c r="A115" s="89"/>
      <c r="B115" s="1145" t="s">
        <v>549</v>
      </c>
      <c r="C115" s="114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</row>
    <row r="116" spans="1:16" ht="12.75">
      <c r="A116" s="89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</row>
    <row r="117" spans="1:16" ht="15">
      <c r="A117" s="89"/>
      <c r="B117" s="690" t="s">
        <v>854</v>
      </c>
      <c r="C117" s="804">
        <v>7130820155</v>
      </c>
      <c r="D117" s="686" t="s">
        <v>452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</row>
    <row r="118" spans="1:16" ht="12.75">
      <c r="A118" s="89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</row>
    <row r="119" spans="1:16" ht="12.75">
      <c r="A119" s="89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</row>
    <row r="120" spans="1:16" ht="12.75">
      <c r="A120" s="89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</row>
    <row r="121" spans="1:16" ht="12.75">
      <c r="A121" s="89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16" ht="12.75">
      <c r="A122" s="89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1:16" ht="12.75">
      <c r="A123" s="89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</row>
    <row r="124" spans="1:16" ht="12.75">
      <c r="A124" s="89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</row>
    <row r="125" spans="1:16" ht="12.75">
      <c r="A125" s="89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</row>
    <row r="126" spans="1:16" ht="12.75">
      <c r="A126" s="89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</row>
    <row r="127" spans="1:16" ht="12.75">
      <c r="A127" s="89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1:16" ht="12.75">
      <c r="A128" s="89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</row>
    <row r="129" spans="1:2" ht="12.75">
      <c r="A129" s="89"/>
      <c r="B129" s="65"/>
    </row>
    <row r="130" spans="1:2" ht="12.75">
      <c r="A130" s="89"/>
      <c r="B130" s="65"/>
    </row>
    <row r="131" spans="1:2" ht="12.75">
      <c r="A131" s="89"/>
      <c r="B131" s="65"/>
    </row>
    <row r="132" spans="1:2" ht="12.75">
      <c r="A132" s="89"/>
      <c r="B132" s="65"/>
    </row>
    <row r="133" spans="1:2" ht="12.75">
      <c r="A133" s="89"/>
      <c r="B133" s="65"/>
    </row>
    <row r="134" spans="1:2" ht="12.75">
      <c r="A134" s="89"/>
      <c r="B134" s="65"/>
    </row>
    <row r="135" spans="1:2" ht="12.75">
      <c r="A135" s="89"/>
      <c r="B135" s="65"/>
    </row>
    <row r="136" spans="1:2" ht="12.75">
      <c r="A136" s="89"/>
      <c r="B136" s="65"/>
    </row>
    <row r="137" spans="1:2" ht="12.75">
      <c r="A137" s="89"/>
      <c r="B137" s="65"/>
    </row>
    <row r="138" spans="1:2" ht="12.75">
      <c r="A138" s="89"/>
      <c r="B138" s="65"/>
    </row>
    <row r="139" spans="1:2" ht="12.75">
      <c r="A139" s="89"/>
      <c r="B139" s="65"/>
    </row>
    <row r="140" spans="1:2" ht="12.75">
      <c r="A140" s="89"/>
      <c r="B140" s="65"/>
    </row>
    <row r="141" spans="1:2" ht="12.75">
      <c r="A141" s="89"/>
      <c r="B141" s="65"/>
    </row>
    <row r="142" spans="1:2" ht="12.75">
      <c r="A142" s="89"/>
      <c r="B142" s="65"/>
    </row>
    <row r="143" spans="1:2" ht="12.75">
      <c r="A143" s="89"/>
      <c r="B143" s="65"/>
    </row>
    <row r="144" spans="1:2" ht="12.75">
      <c r="A144" s="89"/>
      <c r="B144" s="65"/>
    </row>
    <row r="145" spans="1:2" ht="12.75">
      <c r="A145" s="89"/>
      <c r="B145" s="65"/>
    </row>
    <row r="146" spans="1:2" ht="12.75">
      <c r="A146" s="89"/>
      <c r="B146" s="65"/>
    </row>
    <row r="147" spans="1:2" ht="12.75">
      <c r="A147" s="89"/>
      <c r="B147" s="65"/>
    </row>
    <row r="148" spans="1:2" ht="12.75">
      <c r="A148" s="89"/>
      <c r="B148" s="65"/>
    </row>
    <row r="149" spans="1:2" ht="12.75">
      <c r="A149" s="89"/>
      <c r="B149" s="65"/>
    </row>
    <row r="150" spans="1:2" ht="12.75">
      <c r="A150" s="89"/>
      <c r="B150" s="65"/>
    </row>
    <row r="151" spans="1:2" ht="12.75">
      <c r="A151" s="89"/>
      <c r="B151" s="65"/>
    </row>
    <row r="152" spans="1:2" ht="12.75">
      <c r="A152" s="89"/>
      <c r="B152" s="65"/>
    </row>
    <row r="153" spans="1:2" ht="12.75">
      <c r="A153" s="89"/>
      <c r="B153" s="65"/>
    </row>
    <row r="154" spans="1:2" ht="12.75">
      <c r="A154" s="89"/>
      <c r="B154" s="65"/>
    </row>
    <row r="155" spans="1:2" ht="12.75">
      <c r="A155" s="89"/>
      <c r="B155" s="65"/>
    </row>
    <row r="156" spans="1:2" ht="12.75">
      <c r="A156" s="89"/>
      <c r="B156" s="65"/>
    </row>
    <row r="157" spans="1:2" ht="12.75">
      <c r="A157" s="89"/>
      <c r="B157" s="65"/>
    </row>
    <row r="158" spans="1:2" ht="12.75">
      <c r="A158" s="89"/>
      <c r="B158" s="65"/>
    </row>
    <row r="159" spans="1:2" ht="12.75">
      <c r="A159" s="89"/>
      <c r="B159" s="65"/>
    </row>
    <row r="160" spans="1:2" ht="12.75">
      <c r="A160" s="89"/>
      <c r="B160" s="65"/>
    </row>
    <row r="161" spans="1:2" ht="12.75">
      <c r="A161" s="89"/>
      <c r="B161" s="65"/>
    </row>
    <row r="162" spans="1:2" ht="12.75">
      <c r="A162" s="89"/>
      <c r="B162" s="65"/>
    </row>
    <row r="163" spans="1:2" ht="12.75">
      <c r="A163" s="89"/>
      <c r="B163" s="65"/>
    </row>
    <row r="164" spans="1:2" ht="12.75">
      <c r="A164" s="89"/>
      <c r="B164" s="65"/>
    </row>
    <row r="165" spans="1:2" ht="12.75">
      <c r="A165" s="89"/>
      <c r="B165" s="65"/>
    </row>
    <row r="166" spans="1:2" ht="12.75">
      <c r="A166" s="89"/>
      <c r="B166" s="65"/>
    </row>
    <row r="167" spans="1:2" ht="12.75">
      <c r="A167" s="89"/>
      <c r="B167" s="65"/>
    </row>
    <row r="168" spans="1:2" ht="12.75">
      <c r="A168" s="89"/>
      <c r="B168" s="65"/>
    </row>
    <row r="169" spans="1:2" ht="12.75">
      <c r="A169" s="89"/>
      <c r="B169" s="65"/>
    </row>
    <row r="170" spans="1:2" ht="12.75">
      <c r="A170" s="89"/>
      <c r="B170" s="65"/>
    </row>
    <row r="171" spans="1:2" ht="12.75">
      <c r="A171" s="89"/>
      <c r="B171" s="65"/>
    </row>
    <row r="172" spans="1:2" ht="12.75">
      <c r="A172" s="89"/>
      <c r="B172" s="65"/>
    </row>
  </sheetData>
  <sheetProtection/>
  <mergeCells count="20">
    <mergeCell ref="B115:C115"/>
    <mergeCell ref="B67:H67"/>
    <mergeCell ref="B64:H64"/>
    <mergeCell ref="B65:H65"/>
    <mergeCell ref="E1:J1"/>
    <mergeCell ref="B3:M3"/>
    <mergeCell ref="B5:B6"/>
    <mergeCell ref="C5:C6"/>
    <mergeCell ref="D5:D6"/>
    <mergeCell ref="E5:G5"/>
    <mergeCell ref="N5:P5"/>
    <mergeCell ref="A8:A12"/>
    <mergeCell ref="A29:A31"/>
    <mergeCell ref="A36:A40"/>
    <mergeCell ref="A15:A16"/>
    <mergeCell ref="A21:A23"/>
    <mergeCell ref="A24:A25"/>
    <mergeCell ref="A5:A6"/>
    <mergeCell ref="H5:J5"/>
    <mergeCell ref="K5:M5"/>
  </mergeCells>
  <conditionalFormatting sqref="B53:B54">
    <cfRule type="cellIs" priority="1" dxfId="0" operator="equal" stopIfTrue="1">
      <formula>"?"</formula>
    </cfRule>
  </conditionalFormatting>
  <printOptions/>
  <pageMargins left="0.54" right="0.16" top="0.56" bottom="0.48" header="0.33" footer="0.16"/>
  <pageSetup fitToHeight="3"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N6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7109375" style="36" customWidth="1"/>
    <col min="2" max="2" width="48.57421875" style="1" customWidth="1"/>
    <col min="3" max="3" width="15.00390625" style="1" customWidth="1"/>
    <col min="4" max="4" width="6.140625" style="1" customWidth="1"/>
    <col min="5" max="5" width="10.57421875" style="1" customWidth="1"/>
    <col min="6" max="6" width="6.421875" style="1" bestFit="1" customWidth="1"/>
    <col min="7" max="7" width="12.140625" style="1" bestFit="1" customWidth="1"/>
    <col min="8" max="8" width="6.421875" style="1" bestFit="1" customWidth="1"/>
    <col min="9" max="9" width="12.140625" style="1" bestFit="1" customWidth="1"/>
    <col min="10" max="10" width="12.421875" style="1" customWidth="1"/>
    <col min="11" max="11" width="13.57421875" style="1" customWidth="1"/>
    <col min="12" max="12" width="16.28125" style="1" customWidth="1"/>
    <col min="13" max="16384" width="9.140625" style="1" customWidth="1"/>
  </cols>
  <sheetData>
    <row r="1" spans="2:5" ht="18">
      <c r="B1" s="57"/>
      <c r="C1" s="1153" t="s">
        <v>406</v>
      </c>
      <c r="D1" s="1153"/>
      <c r="E1" s="1153"/>
    </row>
    <row r="2" spans="1:5" ht="11.25" customHeight="1">
      <c r="A2" s="418"/>
      <c r="B2" s="418"/>
      <c r="C2" s="419"/>
      <c r="D2" s="418"/>
      <c r="E2" s="418"/>
    </row>
    <row r="3" spans="1:9" ht="36" customHeight="1">
      <c r="A3" s="1164" t="s">
        <v>1142</v>
      </c>
      <c r="B3" s="1164"/>
      <c r="C3" s="1164"/>
      <c r="D3" s="1164"/>
      <c r="E3" s="1164"/>
      <c r="F3" s="1164"/>
      <c r="G3" s="1164"/>
      <c r="H3" s="1164"/>
      <c r="I3" s="1060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352"/>
      <c r="B5" s="352"/>
      <c r="C5" s="803"/>
      <c r="D5" s="352"/>
      <c r="E5" s="352"/>
      <c r="F5" s="112"/>
      <c r="G5" s="112" t="s">
        <v>551</v>
      </c>
      <c r="H5" s="112"/>
      <c r="I5" s="112"/>
    </row>
    <row r="6" spans="1:9" ht="15">
      <c r="A6" s="352"/>
      <c r="B6" s="352"/>
      <c r="C6" s="803"/>
      <c r="D6" s="352"/>
      <c r="E6" s="352"/>
      <c r="F6" s="1295" t="s">
        <v>550</v>
      </c>
      <c r="G6" s="1295"/>
      <c r="H6" s="1295"/>
      <c r="I6" s="1295"/>
    </row>
    <row r="7" spans="1:9" ht="48" customHeight="1">
      <c r="A7" s="1262" t="s">
        <v>1335</v>
      </c>
      <c r="B7" s="1262" t="s">
        <v>449</v>
      </c>
      <c r="C7" s="1274" t="s">
        <v>53</v>
      </c>
      <c r="D7" s="1262" t="s">
        <v>450</v>
      </c>
      <c r="E7" s="1291" t="s">
        <v>799</v>
      </c>
      <c r="F7" s="1297" t="s">
        <v>678</v>
      </c>
      <c r="G7" s="1298"/>
      <c r="H7" s="1262" t="s">
        <v>677</v>
      </c>
      <c r="I7" s="1262"/>
    </row>
    <row r="8" spans="1:9" ht="18" customHeight="1">
      <c r="A8" s="1262"/>
      <c r="B8" s="1262"/>
      <c r="C8" s="1275"/>
      <c r="D8" s="1262"/>
      <c r="E8" s="1292"/>
      <c r="F8" s="15" t="s">
        <v>1370</v>
      </c>
      <c r="G8" s="17" t="s">
        <v>7</v>
      </c>
      <c r="H8" s="15" t="s">
        <v>1370</v>
      </c>
      <c r="I8" s="17" t="s">
        <v>7</v>
      </c>
    </row>
    <row r="9" spans="1:9" ht="15.75">
      <c r="A9" s="237">
        <v>1</v>
      </c>
      <c r="B9" s="237">
        <v>2</v>
      </c>
      <c r="C9" s="237">
        <v>3</v>
      </c>
      <c r="D9" s="237">
        <v>4</v>
      </c>
      <c r="E9" s="237">
        <v>5</v>
      </c>
      <c r="F9" s="237">
        <v>6</v>
      </c>
      <c r="G9" s="237">
        <v>7</v>
      </c>
      <c r="H9" s="237">
        <v>8</v>
      </c>
      <c r="I9" s="237">
        <v>9</v>
      </c>
    </row>
    <row r="10" spans="1:14" ht="34.5" customHeight="1">
      <c r="A10" s="686">
        <v>1</v>
      </c>
      <c r="B10" s="173" t="s">
        <v>407</v>
      </c>
      <c r="C10" s="711">
        <v>7130601072</v>
      </c>
      <c r="D10" s="171" t="s">
        <v>458</v>
      </c>
      <c r="E10" s="172">
        <f>VLOOKUP(C10,'SOR RATE'!A:D,4,0)/1000</f>
        <v>47.741</v>
      </c>
      <c r="F10" s="176"/>
      <c r="G10" s="176"/>
      <c r="H10" s="176"/>
      <c r="I10" s="176"/>
      <c r="K10" s="69"/>
      <c r="L10" s="69"/>
      <c r="M10" s="69"/>
      <c r="N10" s="69"/>
    </row>
    <row r="11" spans="1:14" ht="18" customHeight="1">
      <c r="A11" s="686">
        <v>2</v>
      </c>
      <c r="B11" s="119" t="s">
        <v>1075</v>
      </c>
      <c r="C11" s="140"/>
      <c r="D11" s="2" t="s">
        <v>452</v>
      </c>
      <c r="E11" s="121">
        <v>5022</v>
      </c>
      <c r="F11" s="691">
        <v>12</v>
      </c>
      <c r="G11" s="121">
        <f>E11*F11</f>
        <v>60264</v>
      </c>
      <c r="H11" s="691">
        <v>12</v>
      </c>
      <c r="I11" s="121">
        <f>E11*H11</f>
        <v>60264</v>
      </c>
      <c r="K11" s="1166" t="s">
        <v>1076</v>
      </c>
      <c r="L11" s="1166"/>
      <c r="M11" s="69"/>
      <c r="N11" s="69"/>
    </row>
    <row r="12" spans="1:9" ht="15">
      <c r="A12" s="686">
        <v>3</v>
      </c>
      <c r="B12" s="173" t="s">
        <v>1490</v>
      </c>
      <c r="C12" s="804">
        <v>7130810495</v>
      </c>
      <c r="D12" s="686" t="s">
        <v>452</v>
      </c>
      <c r="E12" s="172">
        <f>VLOOKUP(C12,'SOR RATE'!A:D,4,0)</f>
        <v>1048</v>
      </c>
      <c r="F12" s="691">
        <v>12</v>
      </c>
      <c r="G12" s="176">
        <f>E12*F12</f>
        <v>12576</v>
      </c>
      <c r="H12" s="691">
        <v>12</v>
      </c>
      <c r="I12" s="176">
        <f>E12*H12</f>
        <v>12576</v>
      </c>
    </row>
    <row r="13" spans="1:9" ht="15">
      <c r="A13" s="686">
        <v>4</v>
      </c>
      <c r="B13" s="173" t="s">
        <v>1063</v>
      </c>
      <c r="C13" s="804">
        <v>7130810361</v>
      </c>
      <c r="D13" s="686" t="s">
        <v>452</v>
      </c>
      <c r="E13" s="172">
        <f>VLOOKUP(C13,'SOR RATE'!A:D,4,0)</f>
        <v>282</v>
      </c>
      <c r="F13" s="691"/>
      <c r="G13" s="176"/>
      <c r="H13" s="176"/>
      <c r="I13" s="176"/>
    </row>
    <row r="14" spans="1:9" ht="15">
      <c r="A14" s="686">
        <v>5</v>
      </c>
      <c r="B14" s="119" t="s">
        <v>680</v>
      </c>
      <c r="C14" s="12">
        <v>7130810193</v>
      </c>
      <c r="D14" s="2" t="s">
        <v>452</v>
      </c>
      <c r="E14" s="172">
        <f>VLOOKUP(C14,'SOR RATE'!A:D,4,0)</f>
        <v>265</v>
      </c>
      <c r="F14" s="691">
        <v>12</v>
      </c>
      <c r="G14" s="176">
        <f>E14*F14</f>
        <v>3180</v>
      </c>
      <c r="H14" s="691">
        <v>12</v>
      </c>
      <c r="I14" s="176">
        <f>E14*H14</f>
        <v>3180</v>
      </c>
    </row>
    <row r="15" spans="1:9" ht="15">
      <c r="A15" s="686">
        <v>6</v>
      </c>
      <c r="B15" s="173" t="s">
        <v>1492</v>
      </c>
      <c r="C15" s="804">
        <v>7130810679</v>
      </c>
      <c r="D15" s="686" t="s">
        <v>452</v>
      </c>
      <c r="E15" s="172">
        <f>VLOOKUP(C15,'SOR RATE'!A:D,4,0)</f>
        <v>294</v>
      </c>
      <c r="F15" s="691">
        <v>12</v>
      </c>
      <c r="G15" s="176">
        <f>E15*F15</f>
        <v>3528</v>
      </c>
      <c r="H15" s="691">
        <v>12</v>
      </c>
      <c r="I15" s="176">
        <f>E15*H15</f>
        <v>3528</v>
      </c>
    </row>
    <row r="16" spans="1:9" ht="30">
      <c r="A16" s="686">
        <v>7</v>
      </c>
      <c r="B16" s="174" t="s">
        <v>1052</v>
      </c>
      <c r="C16" s="804">
        <v>7130870013</v>
      </c>
      <c r="D16" s="686" t="s">
        <v>452</v>
      </c>
      <c r="E16" s="172">
        <f>VLOOKUP(C16,'SOR RATE'!A:D,4,0)</f>
        <v>100</v>
      </c>
      <c r="F16" s="691">
        <v>12</v>
      </c>
      <c r="G16" s="176">
        <f>E16*F16</f>
        <v>1200</v>
      </c>
      <c r="H16" s="691">
        <v>12</v>
      </c>
      <c r="I16" s="176">
        <f>E16*H16</f>
        <v>1200</v>
      </c>
    </row>
    <row r="17" spans="1:12" ht="15">
      <c r="A17" s="686">
        <v>8</v>
      </c>
      <c r="B17" s="119" t="s">
        <v>168</v>
      </c>
      <c r="C17" s="12">
        <v>7130820008</v>
      </c>
      <c r="D17" s="686" t="s">
        <v>452</v>
      </c>
      <c r="E17" s="172">
        <f>VLOOKUP(C17,'SOR RATE'!A:D,4,0)</f>
        <v>157</v>
      </c>
      <c r="F17" s="691">
        <v>36</v>
      </c>
      <c r="G17" s="176">
        <f>E17*F17</f>
        <v>5652</v>
      </c>
      <c r="H17" s="691">
        <v>36</v>
      </c>
      <c r="I17" s="176">
        <f>E17*H17</f>
        <v>5652</v>
      </c>
      <c r="K17" s="1170" t="s">
        <v>169</v>
      </c>
      <c r="L17" s="1170"/>
    </row>
    <row r="18" spans="1:9" ht="15">
      <c r="A18" s="686">
        <v>9</v>
      </c>
      <c r="B18" s="173" t="s">
        <v>408</v>
      </c>
      <c r="C18" s="711">
        <v>7130830060</v>
      </c>
      <c r="D18" s="171" t="s">
        <v>1368</v>
      </c>
      <c r="E18" s="172">
        <f>VLOOKUP(C18,'SOR RATE'!A:D,4,0)/1000</f>
        <v>50.002</v>
      </c>
      <c r="F18" s="691">
        <v>3100</v>
      </c>
      <c r="G18" s="176">
        <f>E18*F18</f>
        <v>155006.2</v>
      </c>
      <c r="H18" s="691"/>
      <c r="I18" s="176"/>
    </row>
    <row r="19" spans="1:12" ht="15">
      <c r="A19" s="686">
        <v>10</v>
      </c>
      <c r="B19" s="173" t="s">
        <v>409</v>
      </c>
      <c r="C19" s="711">
        <v>7130830063</v>
      </c>
      <c r="D19" s="171" t="s">
        <v>1368</v>
      </c>
      <c r="E19" s="172">
        <f>VLOOKUP(C19,'SOR RATE'!A:D,4,0)/1000</f>
        <v>64.842</v>
      </c>
      <c r="F19" s="176"/>
      <c r="G19" s="176"/>
      <c r="H19" s="691">
        <v>3100</v>
      </c>
      <c r="I19" s="176">
        <f>E19*H19</f>
        <v>201010.19999999998</v>
      </c>
      <c r="K19" s="108"/>
      <c r="L19" s="1058"/>
    </row>
    <row r="20" spans="1:10" ht="32.25" customHeight="1">
      <c r="A20" s="686">
        <v>11</v>
      </c>
      <c r="B20" s="173" t="s">
        <v>1495</v>
      </c>
      <c r="C20" s="171">
        <v>7130830051</v>
      </c>
      <c r="D20" s="171" t="s">
        <v>452</v>
      </c>
      <c r="E20" s="172">
        <f>VLOOKUP(C20,'SOR RATE'!A:D,4,0)</f>
        <v>126</v>
      </c>
      <c r="F20" s="691">
        <v>6</v>
      </c>
      <c r="G20" s="176">
        <f>E20*F20</f>
        <v>756</v>
      </c>
      <c r="H20" s="691">
        <v>6</v>
      </c>
      <c r="I20" s="176">
        <f>E20*H20</f>
        <v>756</v>
      </c>
      <c r="J20" s="1117"/>
    </row>
    <row r="21" spans="1:9" ht="15">
      <c r="A21" s="1254">
        <v>12</v>
      </c>
      <c r="B21" s="807" t="s">
        <v>1035</v>
      </c>
      <c r="C21" s="12">
        <v>7130860033</v>
      </c>
      <c r="D21" s="2" t="s">
        <v>452</v>
      </c>
      <c r="E21" s="172">
        <f>VLOOKUP(C21,'SOR RATE'!A:D,4,0)</f>
        <v>705</v>
      </c>
      <c r="F21" s="691">
        <v>4</v>
      </c>
      <c r="G21" s="176">
        <f>E21*F21</f>
        <v>2820</v>
      </c>
      <c r="H21" s="691">
        <v>4</v>
      </c>
      <c r="I21" s="176">
        <f>E21*H21</f>
        <v>2820</v>
      </c>
    </row>
    <row r="22" spans="1:9" ht="15">
      <c r="A22" s="1255"/>
      <c r="B22" s="808" t="s">
        <v>1036</v>
      </c>
      <c r="C22" s="12">
        <v>7130860076</v>
      </c>
      <c r="D22" s="2" t="s">
        <v>458</v>
      </c>
      <c r="E22" s="172">
        <f>VLOOKUP(C22,'SOR RATE'!A:D,4,0)/1000</f>
        <v>61.002</v>
      </c>
      <c r="F22" s="691">
        <v>34</v>
      </c>
      <c r="G22" s="176">
        <f>E22*F22</f>
        <v>2074.068</v>
      </c>
      <c r="H22" s="691">
        <v>34</v>
      </c>
      <c r="I22" s="176">
        <f>E22*H22</f>
        <v>2074.068</v>
      </c>
    </row>
    <row r="23" spans="1:9" ht="15.75" customHeight="1">
      <c r="A23" s="1255"/>
      <c r="B23" s="808" t="s">
        <v>1131</v>
      </c>
      <c r="C23" s="699"/>
      <c r="D23" s="700"/>
      <c r="E23" s="172"/>
      <c r="F23" s="1064"/>
      <c r="G23" s="176"/>
      <c r="H23" s="1064"/>
      <c r="I23" s="176"/>
    </row>
    <row r="24" spans="1:9" ht="15">
      <c r="A24" s="1255"/>
      <c r="B24" s="698" t="s">
        <v>1497</v>
      </c>
      <c r="C24" s="711">
        <v>7130810201</v>
      </c>
      <c r="D24" s="721" t="s">
        <v>452</v>
      </c>
      <c r="E24" s="172">
        <f>VLOOKUP(C24,'SOR RATE'!A:D,4,0)</f>
        <v>282</v>
      </c>
      <c r="F24" s="691"/>
      <c r="G24" s="176"/>
      <c r="H24" s="691"/>
      <c r="I24" s="176"/>
    </row>
    <row r="25" spans="1:9" ht="15">
      <c r="A25" s="1255"/>
      <c r="B25" s="698" t="s">
        <v>1498</v>
      </c>
      <c r="C25" s="711">
        <v>7130810251</v>
      </c>
      <c r="D25" s="721" t="s">
        <v>452</v>
      </c>
      <c r="E25" s="172">
        <f>VLOOKUP(C25,'SOR RATE'!A:D,4,0)</f>
        <v>282</v>
      </c>
      <c r="F25" s="691"/>
      <c r="G25" s="176"/>
      <c r="H25" s="691"/>
      <c r="I25" s="176"/>
    </row>
    <row r="26" spans="1:9" ht="15">
      <c r="A26" s="1256"/>
      <c r="B26" s="119" t="s">
        <v>679</v>
      </c>
      <c r="C26" s="12">
        <v>7130810193</v>
      </c>
      <c r="D26" s="2" t="s">
        <v>452</v>
      </c>
      <c r="E26" s="172">
        <f>VLOOKUP(C26,'SOR RATE'!A:D,4,0)</f>
        <v>265</v>
      </c>
      <c r="F26" s="691">
        <v>4</v>
      </c>
      <c r="G26" s="176">
        <f>E26*F26</f>
        <v>1060</v>
      </c>
      <c r="H26" s="691">
        <v>4</v>
      </c>
      <c r="I26" s="176">
        <f>E26*H26</f>
        <v>1060</v>
      </c>
    </row>
    <row r="27" spans="1:9" ht="35.25" customHeight="1">
      <c r="A27" s="1293">
        <v>13</v>
      </c>
      <c r="B27" s="126" t="s">
        <v>410</v>
      </c>
      <c r="C27" s="804"/>
      <c r="D27" s="695" t="s">
        <v>454</v>
      </c>
      <c r="E27" s="172"/>
      <c r="F27" s="695">
        <f>(12*0.65)+(4*0.3)</f>
        <v>9</v>
      </c>
      <c r="G27" s="176"/>
      <c r="H27" s="695">
        <f>(12*0.65)+(4*0.3)</f>
        <v>9</v>
      </c>
      <c r="I27" s="176"/>
    </row>
    <row r="28" spans="1:9" ht="15">
      <c r="A28" s="1294"/>
      <c r="B28" s="690" t="s">
        <v>1346</v>
      </c>
      <c r="C28" s="804">
        <v>7130200401</v>
      </c>
      <c r="D28" s="686" t="s">
        <v>458</v>
      </c>
      <c r="E28" s="172">
        <f>VLOOKUP(C28,'SOR RATE'!A:D,4,0)/50</f>
        <v>5.36</v>
      </c>
      <c r="F28" s="691">
        <f>F27*208</f>
        <v>1872</v>
      </c>
      <c r="G28" s="176">
        <f aca="true" t="shared" si="0" ref="G28:G33">E28*F28</f>
        <v>10033.92</v>
      </c>
      <c r="H28" s="691">
        <f>H27*208</f>
        <v>1872</v>
      </c>
      <c r="I28" s="176">
        <f aca="true" t="shared" si="1" ref="I28:I33">E28*H28</f>
        <v>10033.92</v>
      </c>
    </row>
    <row r="29" spans="1:9" ht="15">
      <c r="A29" s="686">
        <v>14</v>
      </c>
      <c r="B29" s="808" t="s">
        <v>455</v>
      </c>
      <c r="C29" s="804">
        <v>7130211158</v>
      </c>
      <c r="D29" s="686" t="s">
        <v>456</v>
      </c>
      <c r="E29" s="172">
        <f>VLOOKUP(C29,'SOR RATE'!A:D,4,0)</f>
        <v>130</v>
      </c>
      <c r="F29" s="691">
        <v>2</v>
      </c>
      <c r="G29" s="176">
        <f t="shared" si="0"/>
        <v>260</v>
      </c>
      <c r="H29" s="691">
        <v>2</v>
      </c>
      <c r="I29" s="176">
        <f t="shared" si="1"/>
        <v>260</v>
      </c>
    </row>
    <row r="30" spans="1:9" ht="15">
      <c r="A30" s="686">
        <v>15</v>
      </c>
      <c r="B30" s="808" t="s">
        <v>457</v>
      </c>
      <c r="C30" s="804">
        <v>7130210809</v>
      </c>
      <c r="D30" s="686" t="s">
        <v>456</v>
      </c>
      <c r="E30" s="172">
        <f>VLOOKUP(C30,'SOR RATE'!A:D,4,0)</f>
        <v>290</v>
      </c>
      <c r="F30" s="691">
        <v>2</v>
      </c>
      <c r="G30" s="176">
        <f t="shared" si="0"/>
        <v>580</v>
      </c>
      <c r="H30" s="691">
        <v>2</v>
      </c>
      <c r="I30" s="176">
        <f t="shared" si="1"/>
        <v>580</v>
      </c>
    </row>
    <row r="31" spans="1:11" ht="15">
      <c r="A31" s="686">
        <v>16</v>
      </c>
      <c r="B31" s="119" t="s">
        <v>1253</v>
      </c>
      <c r="C31" s="12">
        <v>7130610206</v>
      </c>
      <c r="D31" s="128" t="s">
        <v>458</v>
      </c>
      <c r="E31" s="172">
        <f>VLOOKUP(C31,'SOR RATE'!A:D,4,0)/1000</f>
        <v>66.528</v>
      </c>
      <c r="F31" s="691">
        <v>12</v>
      </c>
      <c r="G31" s="176">
        <f t="shared" si="0"/>
        <v>798.336</v>
      </c>
      <c r="H31" s="691">
        <v>12</v>
      </c>
      <c r="I31" s="176">
        <f t="shared" si="1"/>
        <v>798.336</v>
      </c>
      <c r="J31" s="46"/>
      <c r="K31" s="46"/>
    </row>
    <row r="32" spans="1:9" ht="15">
      <c r="A32" s="686">
        <v>17</v>
      </c>
      <c r="B32" s="690" t="s">
        <v>1342</v>
      </c>
      <c r="C32" s="804">
        <v>7130880041</v>
      </c>
      <c r="D32" s="686" t="s">
        <v>1553</v>
      </c>
      <c r="E32" s="172">
        <f>VLOOKUP(C32,'SOR RATE'!A:D,4,0)</f>
        <v>74</v>
      </c>
      <c r="F32" s="691">
        <v>12</v>
      </c>
      <c r="G32" s="176">
        <f t="shared" si="0"/>
        <v>888</v>
      </c>
      <c r="H32" s="691">
        <v>12</v>
      </c>
      <c r="I32" s="176">
        <f t="shared" si="1"/>
        <v>888</v>
      </c>
    </row>
    <row r="33" spans="1:9" ht="15">
      <c r="A33" s="686">
        <v>18</v>
      </c>
      <c r="B33" s="690" t="s">
        <v>1590</v>
      </c>
      <c r="C33" s="804">
        <v>7130830006</v>
      </c>
      <c r="D33" s="686" t="s">
        <v>458</v>
      </c>
      <c r="E33" s="172">
        <f>VLOOKUP(C33,'SOR RATE'!A:D,4,0)</f>
        <v>139</v>
      </c>
      <c r="F33" s="691">
        <v>6</v>
      </c>
      <c r="G33" s="176">
        <f t="shared" si="0"/>
        <v>834</v>
      </c>
      <c r="H33" s="691">
        <v>6</v>
      </c>
      <c r="I33" s="176">
        <f t="shared" si="1"/>
        <v>834</v>
      </c>
    </row>
    <row r="34" spans="1:9" ht="15">
      <c r="A34" s="1254">
        <v>19</v>
      </c>
      <c r="B34" s="807" t="s">
        <v>310</v>
      </c>
      <c r="C34" s="804"/>
      <c r="D34" s="686" t="s">
        <v>458</v>
      </c>
      <c r="E34" s="172"/>
      <c r="F34" s="691">
        <v>24</v>
      </c>
      <c r="G34" s="691"/>
      <c r="H34" s="691">
        <v>24</v>
      </c>
      <c r="I34" s="176"/>
    </row>
    <row r="35" spans="1:9" ht="15">
      <c r="A35" s="1255"/>
      <c r="B35" s="117" t="s">
        <v>438</v>
      </c>
      <c r="C35" s="708">
        <v>7130620609</v>
      </c>
      <c r="D35" s="686" t="s">
        <v>458</v>
      </c>
      <c r="E35" s="172">
        <f>VLOOKUP(C35,'SOR RATE'!A:D,4,0)</f>
        <v>64</v>
      </c>
      <c r="F35" s="691">
        <v>1</v>
      </c>
      <c r="G35" s="176">
        <f>E35*F35</f>
        <v>64</v>
      </c>
      <c r="H35" s="691">
        <v>1</v>
      </c>
      <c r="I35" s="176">
        <f>E35*H35</f>
        <v>64</v>
      </c>
    </row>
    <row r="36" spans="1:9" ht="15">
      <c r="A36" s="1255"/>
      <c r="B36" s="117" t="s">
        <v>1336</v>
      </c>
      <c r="C36" s="708">
        <v>7130620614</v>
      </c>
      <c r="D36" s="686" t="s">
        <v>458</v>
      </c>
      <c r="E36" s="172">
        <f>VLOOKUP(C36,'SOR RATE'!A:D,4,0)</f>
        <v>63</v>
      </c>
      <c r="F36" s="691">
        <v>12</v>
      </c>
      <c r="G36" s="176">
        <f>E36*F36</f>
        <v>756</v>
      </c>
      <c r="H36" s="691">
        <v>12</v>
      </c>
      <c r="I36" s="176">
        <f>E36*H36</f>
        <v>756</v>
      </c>
    </row>
    <row r="37" spans="1:9" ht="15">
      <c r="A37" s="1256"/>
      <c r="B37" s="117" t="s">
        <v>1338</v>
      </c>
      <c r="C37" s="708">
        <v>7130620625</v>
      </c>
      <c r="D37" s="686" t="s">
        <v>458</v>
      </c>
      <c r="E37" s="172">
        <f>VLOOKUP(C37,'SOR RATE'!A:D,4,0)</f>
        <v>62</v>
      </c>
      <c r="F37" s="691">
        <v>11</v>
      </c>
      <c r="G37" s="176">
        <f>E37*F37</f>
        <v>682</v>
      </c>
      <c r="H37" s="691">
        <v>11</v>
      </c>
      <c r="I37" s="176">
        <f>E37*H37</f>
        <v>682</v>
      </c>
    </row>
    <row r="38" spans="1:11" ht="15.75">
      <c r="A38" s="17">
        <v>20</v>
      </c>
      <c r="B38" s="125" t="s">
        <v>1576</v>
      </c>
      <c r="C38" s="804"/>
      <c r="D38" s="812"/>
      <c r="E38" s="812"/>
      <c r="F38" s="813"/>
      <c r="G38" s="813">
        <f>SUM(G10:G37)</f>
        <v>263012.52400000003</v>
      </c>
      <c r="H38" s="813"/>
      <c r="I38" s="813">
        <f>SUM(I10:I37)</f>
        <v>309016.524</v>
      </c>
      <c r="J38" s="97"/>
      <c r="K38" s="7"/>
    </row>
    <row r="39" spans="1:11" ht="15">
      <c r="A39" s="175">
        <v>21</v>
      </c>
      <c r="B39" s="119" t="s">
        <v>1575</v>
      </c>
      <c r="C39" s="699"/>
      <c r="D39" s="700"/>
      <c r="E39" s="804">
        <v>0.09</v>
      </c>
      <c r="F39" s="176"/>
      <c r="G39" s="176">
        <f>G38*E39</f>
        <v>23671.127160000004</v>
      </c>
      <c r="H39" s="176"/>
      <c r="I39" s="176">
        <f>I38*E39</f>
        <v>27811.487159999997</v>
      </c>
      <c r="J39" s="97"/>
      <c r="K39" s="97"/>
    </row>
    <row r="40" spans="1:9" ht="21" customHeight="1">
      <c r="A40" s="171">
        <v>22</v>
      </c>
      <c r="B40" s="698" t="s">
        <v>1372</v>
      </c>
      <c r="C40" s="711"/>
      <c r="D40" s="171" t="s">
        <v>454</v>
      </c>
      <c r="E40" s="172">
        <f>1664*1.27*1.0891*1.086275*1.1112*1.0685</f>
        <v>2968.460981603261</v>
      </c>
      <c r="F40" s="713">
        <v>9</v>
      </c>
      <c r="G40" s="172">
        <f>E40*F40</f>
        <v>26716.14883442935</v>
      </c>
      <c r="H40" s="713">
        <v>9</v>
      </c>
      <c r="I40" s="172">
        <f>E40*H40</f>
        <v>26716.14883442935</v>
      </c>
    </row>
    <row r="41" spans="1:9" ht="15">
      <c r="A41" s="171">
        <v>23</v>
      </c>
      <c r="B41" s="808" t="s">
        <v>411</v>
      </c>
      <c r="C41" s="711"/>
      <c r="D41" s="171"/>
      <c r="E41" s="172"/>
      <c r="F41" s="713"/>
      <c r="G41" s="172">
        <v>37279.78</v>
      </c>
      <c r="H41" s="713"/>
      <c r="I41" s="172">
        <v>38485.15</v>
      </c>
    </row>
    <row r="42" spans="1:9" ht="47.25" customHeight="1">
      <c r="A42" s="171">
        <v>24</v>
      </c>
      <c r="B42" s="173" t="s">
        <v>765</v>
      </c>
      <c r="C42" s="711"/>
      <c r="D42" s="171"/>
      <c r="E42" s="172">
        <f>1.1*1.1*4108*1.2*1.1*1.1797*1.1402*0.9368</f>
        <v>8267.786144629807</v>
      </c>
      <c r="F42" s="172"/>
      <c r="G42" s="172">
        <f>+E42</f>
        <v>8267.786144629807</v>
      </c>
      <c r="H42" s="172"/>
      <c r="I42" s="172">
        <f>+E42</f>
        <v>8267.786144629807</v>
      </c>
    </row>
    <row r="43" spans="1:10" ht="15.75">
      <c r="A43" s="15">
        <v>25</v>
      </c>
      <c r="B43" s="125" t="s">
        <v>1577</v>
      </c>
      <c r="C43" s="711"/>
      <c r="D43" s="171"/>
      <c r="E43" s="172"/>
      <c r="F43" s="4"/>
      <c r="G43" s="4">
        <f>G38+G39+G40+G41+G42</f>
        <v>358947.3661390592</v>
      </c>
      <c r="H43" s="4"/>
      <c r="I43" s="4">
        <f>I38+I39+I40+I41+I42</f>
        <v>410297.09613905917</v>
      </c>
      <c r="J43" s="111"/>
    </row>
    <row r="44" spans="1:10" ht="32.25" customHeight="1">
      <c r="A44" s="171">
        <v>26</v>
      </c>
      <c r="B44" s="119" t="s">
        <v>1578</v>
      </c>
      <c r="C44" s="711"/>
      <c r="D44" s="171"/>
      <c r="E44" s="172">
        <v>0.11</v>
      </c>
      <c r="F44" s="172"/>
      <c r="G44" s="172">
        <f>G38*E44</f>
        <v>28931.377640000002</v>
      </c>
      <c r="H44" s="172"/>
      <c r="I44" s="172">
        <f>I38*E44</f>
        <v>33991.81764</v>
      </c>
      <c r="J44" s="111"/>
    </row>
    <row r="45" spans="1:9" ht="21" customHeight="1">
      <c r="A45" s="171">
        <v>27</v>
      </c>
      <c r="B45" s="173" t="s">
        <v>1332</v>
      </c>
      <c r="C45" s="711"/>
      <c r="D45" s="171"/>
      <c r="E45" s="171"/>
      <c r="F45" s="172"/>
      <c r="G45" s="172">
        <f>G43+G44</f>
        <v>387878.7437790592</v>
      </c>
      <c r="H45" s="172"/>
      <c r="I45" s="172">
        <f>I43+I44</f>
        <v>444288.9137790592</v>
      </c>
    </row>
    <row r="46" spans="1:9" ht="33.75" customHeight="1">
      <c r="A46" s="816">
        <v>28</v>
      </c>
      <c r="B46" s="817" t="s">
        <v>1333</v>
      </c>
      <c r="C46" s="818"/>
      <c r="D46" s="816"/>
      <c r="E46" s="816"/>
      <c r="F46" s="178"/>
      <c r="G46" s="178">
        <f>ROUND(G45,0)</f>
        <v>387879</v>
      </c>
      <c r="H46" s="178"/>
      <c r="I46" s="178">
        <f>ROUND(I45,0)</f>
        <v>444289</v>
      </c>
    </row>
    <row r="47" spans="1:9" ht="15">
      <c r="A47" s="84"/>
      <c r="B47" s="7"/>
      <c r="C47" s="722"/>
      <c r="D47" s="7"/>
      <c r="E47" s="7"/>
      <c r="F47" s="7"/>
      <c r="G47" s="7"/>
      <c r="H47" s="7"/>
      <c r="I47" s="7"/>
    </row>
    <row r="48" spans="1:9" ht="15">
      <c r="A48" s="819"/>
      <c r="B48" s="1296" t="s">
        <v>766</v>
      </c>
      <c r="C48" s="1296"/>
      <c r="D48" s="1296"/>
      <c r="E48" s="881"/>
      <c r="F48" s="1063"/>
      <c r="G48" s="1063"/>
      <c r="H48" s="1063"/>
      <c r="I48" s="1063"/>
    </row>
    <row r="49" ht="15">
      <c r="A49" s="819"/>
    </row>
    <row r="65" spans="1:3" ht="15.75">
      <c r="A65" s="6"/>
      <c r="B65" s="1145" t="s">
        <v>549</v>
      </c>
      <c r="C65" s="1145"/>
    </row>
    <row r="66" spans="1:3" ht="14.25">
      <c r="A66" s="115" t="s">
        <v>1548</v>
      </c>
      <c r="B66" s="180" t="s">
        <v>170</v>
      </c>
      <c r="C66" s="238">
        <v>7130820155</v>
      </c>
    </row>
  </sheetData>
  <sheetProtection/>
  <mergeCells count="17">
    <mergeCell ref="A7:A8"/>
    <mergeCell ref="K11:L11"/>
    <mergeCell ref="F6:I6"/>
    <mergeCell ref="B48:D48"/>
    <mergeCell ref="K17:L17"/>
    <mergeCell ref="F7:G7"/>
    <mergeCell ref="H7:I7"/>
    <mergeCell ref="B65:C65"/>
    <mergeCell ref="C1:E1"/>
    <mergeCell ref="B7:B8"/>
    <mergeCell ref="C7:C8"/>
    <mergeCell ref="D7:D8"/>
    <mergeCell ref="E7:E8"/>
    <mergeCell ref="A3:H3"/>
    <mergeCell ref="A27:A28"/>
    <mergeCell ref="A34:A37"/>
    <mergeCell ref="A21:A26"/>
  </mergeCells>
  <conditionalFormatting sqref="B38:B39">
    <cfRule type="cellIs" priority="1" dxfId="0" operator="equal" stopIfTrue="1">
      <formula>"?"</formula>
    </cfRule>
  </conditionalFormatting>
  <printOptions/>
  <pageMargins left="0.88" right="0.16" top="0.63" bottom="0.32" header="0.5" footer="0.16"/>
  <pageSetup horizontalDpi="600" verticalDpi="6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65"/>
  <sheetViews>
    <sheetView zoomScaleSheetLayoutView="70" zoomScalePageLayoutView="0" workbookViewId="0" topLeftCell="A1">
      <pane xSplit="1" ySplit="8" topLeftCell="B9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:B1"/>
    </sheetView>
  </sheetViews>
  <sheetFormatPr defaultColWidth="9.140625" defaultRowHeight="12.75"/>
  <cols>
    <col min="1" max="1" width="4.140625" style="36" customWidth="1"/>
    <col min="2" max="2" width="39.7109375" style="1" customWidth="1"/>
    <col min="3" max="3" width="13.00390625" style="11" customWidth="1"/>
    <col min="4" max="4" width="5.00390625" style="1" customWidth="1"/>
    <col min="5" max="5" width="5.8515625" style="1" customWidth="1"/>
    <col min="6" max="6" width="9.00390625" style="1" customWidth="1"/>
    <col min="7" max="7" width="11.421875" style="1" customWidth="1"/>
    <col min="8" max="8" width="5.421875" style="1" customWidth="1"/>
    <col min="9" max="9" width="8.421875" style="1" customWidth="1"/>
    <col min="10" max="10" width="11.28125" style="1" customWidth="1"/>
    <col min="11" max="11" width="12.28125" style="1" customWidth="1"/>
    <col min="12" max="12" width="10.00390625" style="1" customWidth="1"/>
    <col min="13" max="13" width="22.28125" style="1" bestFit="1" customWidth="1"/>
    <col min="14" max="16384" width="9.140625" style="1" customWidth="1"/>
  </cols>
  <sheetData>
    <row r="1" spans="1:10" ht="18">
      <c r="A1" s="1151"/>
      <c r="B1" s="1152"/>
      <c r="C1" s="1153" t="s">
        <v>51</v>
      </c>
      <c r="D1" s="1153"/>
      <c r="E1" s="1153"/>
      <c r="F1" s="1153"/>
      <c r="G1" s="1153"/>
      <c r="H1" s="1154"/>
      <c r="I1" s="1155"/>
      <c r="J1" s="1155"/>
    </row>
    <row r="2" spans="1:10" ht="12.75" customHeight="1">
      <c r="A2" s="1151"/>
      <c r="B2" s="1151"/>
      <c r="C2" s="1151"/>
      <c r="D2" s="1151"/>
      <c r="E2" s="1151"/>
      <c r="F2" s="1151"/>
      <c r="G2" s="1151"/>
      <c r="H2" s="1151"/>
      <c r="I2" s="1151"/>
      <c r="J2" s="1151"/>
    </row>
    <row r="3" spans="2:14" ht="33.75" customHeight="1">
      <c r="B3" s="1156" t="s">
        <v>52</v>
      </c>
      <c r="C3" s="1156"/>
      <c r="D3" s="1156"/>
      <c r="E3" s="1156"/>
      <c r="F3" s="1156"/>
      <c r="G3" s="1156"/>
      <c r="H3" s="1156"/>
      <c r="I3" s="1157"/>
      <c r="J3" s="1158"/>
      <c r="M3" s="356"/>
      <c r="N3" s="356"/>
    </row>
    <row r="4" spans="1:15" ht="16.5" customHeight="1">
      <c r="A4" s="344"/>
      <c r="B4" s="344"/>
      <c r="C4" s="344"/>
      <c r="D4" s="344"/>
      <c r="E4" s="344"/>
      <c r="F4" s="344"/>
      <c r="G4" s="344"/>
      <c r="H4" s="344"/>
      <c r="I4" s="345"/>
      <c r="J4" s="112" t="s">
        <v>551</v>
      </c>
      <c r="M4" s="357"/>
      <c r="N4" s="357"/>
      <c r="O4" s="357"/>
    </row>
    <row r="5" spans="1:11" ht="12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65"/>
    </row>
    <row r="6" spans="1:10" ht="17.25" customHeight="1">
      <c r="A6" s="1149" t="s">
        <v>1335</v>
      </c>
      <c r="B6" s="1149" t="s">
        <v>449</v>
      </c>
      <c r="C6" s="1149" t="s">
        <v>53</v>
      </c>
      <c r="D6" s="1159" t="s">
        <v>450</v>
      </c>
      <c r="E6" s="1144" t="s">
        <v>54</v>
      </c>
      <c r="F6" s="1144"/>
      <c r="G6" s="1144"/>
      <c r="H6" s="1144" t="s">
        <v>864</v>
      </c>
      <c r="I6" s="1144"/>
      <c r="J6" s="1144"/>
    </row>
    <row r="7" spans="1:10" ht="12.75">
      <c r="A7" s="1150"/>
      <c r="B7" s="1150"/>
      <c r="C7" s="1150"/>
      <c r="D7" s="1160"/>
      <c r="E7" s="218" t="s">
        <v>451</v>
      </c>
      <c r="F7" s="218" t="s">
        <v>799</v>
      </c>
      <c r="G7" s="218" t="s">
        <v>7</v>
      </c>
      <c r="H7" s="218" t="s">
        <v>451</v>
      </c>
      <c r="I7" s="218" t="s">
        <v>799</v>
      </c>
      <c r="J7" s="218" t="s">
        <v>7</v>
      </c>
    </row>
    <row r="8" spans="1:10" ht="12.75">
      <c r="A8" s="219">
        <v>1</v>
      </c>
      <c r="B8" s="219">
        <v>2</v>
      </c>
      <c r="C8" s="219">
        <v>3</v>
      </c>
      <c r="D8" s="219">
        <v>4</v>
      </c>
      <c r="E8" s="219">
        <v>5</v>
      </c>
      <c r="F8" s="219">
        <v>6</v>
      </c>
      <c r="G8" s="219">
        <v>7</v>
      </c>
      <c r="H8" s="219">
        <v>8</v>
      </c>
      <c r="I8" s="219">
        <v>9</v>
      </c>
      <c r="J8" s="219">
        <v>10</v>
      </c>
    </row>
    <row r="9" spans="1:10" ht="16.5" customHeight="1">
      <c r="A9" s="204">
        <v>1</v>
      </c>
      <c r="B9" s="208" t="s">
        <v>1366</v>
      </c>
      <c r="C9" s="280">
        <v>7130800012</v>
      </c>
      <c r="D9" s="204" t="s">
        <v>452</v>
      </c>
      <c r="E9" s="204">
        <v>16</v>
      </c>
      <c r="F9" s="205">
        <f>VLOOKUP(C9,'SOR RATE'!A:D,4,0)</f>
        <v>1654</v>
      </c>
      <c r="G9" s="205">
        <f aca="true" t="shared" si="0" ref="G9:G15">F9*E9</f>
        <v>26464</v>
      </c>
      <c r="H9" s="204">
        <v>16</v>
      </c>
      <c r="I9" s="205">
        <f>+F9</f>
        <v>1654</v>
      </c>
      <c r="J9" s="205">
        <f aca="true" t="shared" si="1" ref="J9:J14">I9*H9</f>
        <v>26464</v>
      </c>
    </row>
    <row r="10" spans="1:10" ht="27" customHeight="1">
      <c r="A10" s="283">
        <v>2</v>
      </c>
      <c r="B10" s="163" t="s">
        <v>1367</v>
      </c>
      <c r="C10" s="280">
        <v>7130810495</v>
      </c>
      <c r="D10" s="204" t="s">
        <v>452</v>
      </c>
      <c r="E10" s="204">
        <v>16</v>
      </c>
      <c r="F10" s="205">
        <f>VLOOKUP(C10,'SOR RATE'!A:D,4,0)</f>
        <v>1048</v>
      </c>
      <c r="G10" s="205">
        <f t="shared" si="0"/>
        <v>16768</v>
      </c>
      <c r="H10" s="204">
        <v>16</v>
      </c>
      <c r="I10" s="205">
        <f aca="true" t="shared" si="2" ref="I10:I37">+F10</f>
        <v>1048</v>
      </c>
      <c r="J10" s="205">
        <f t="shared" si="1"/>
        <v>16768</v>
      </c>
    </row>
    <row r="11" spans="1:10" ht="14.25" customHeight="1">
      <c r="A11" s="204">
        <v>3</v>
      </c>
      <c r="B11" s="163" t="s">
        <v>1361</v>
      </c>
      <c r="C11" s="280">
        <v>7130810361</v>
      </c>
      <c r="D11" s="204" t="s">
        <v>452</v>
      </c>
      <c r="E11" s="204">
        <v>16</v>
      </c>
      <c r="F11" s="205">
        <f>VLOOKUP(C11,'SOR RATE'!A:D,4,0)</f>
        <v>282</v>
      </c>
      <c r="G11" s="205">
        <f t="shared" si="0"/>
        <v>4512</v>
      </c>
      <c r="H11" s="204">
        <v>16</v>
      </c>
      <c r="I11" s="205">
        <f>+F11</f>
        <v>282</v>
      </c>
      <c r="J11" s="205">
        <f t="shared" si="1"/>
        <v>4512</v>
      </c>
    </row>
    <row r="12" spans="1:10" ht="16.5" customHeight="1">
      <c r="A12" s="204">
        <v>4</v>
      </c>
      <c r="B12" s="208" t="s">
        <v>1362</v>
      </c>
      <c r="C12" s="280">
        <v>7130810679</v>
      </c>
      <c r="D12" s="204" t="s">
        <v>452</v>
      </c>
      <c r="E12" s="204">
        <v>16</v>
      </c>
      <c r="F12" s="205">
        <f>VLOOKUP(C12,'SOR RATE'!A:D,4,0)</f>
        <v>294</v>
      </c>
      <c r="G12" s="205">
        <f t="shared" si="0"/>
        <v>4704</v>
      </c>
      <c r="H12" s="204">
        <v>16</v>
      </c>
      <c r="I12" s="205">
        <f t="shared" si="2"/>
        <v>294</v>
      </c>
      <c r="J12" s="205">
        <f t="shared" si="1"/>
        <v>4704</v>
      </c>
    </row>
    <row r="13" spans="1:10" ht="27" customHeight="1">
      <c r="A13" s="283">
        <v>5</v>
      </c>
      <c r="B13" s="360" t="s">
        <v>1363</v>
      </c>
      <c r="C13" s="280">
        <v>7130870013</v>
      </c>
      <c r="D13" s="361" t="s">
        <v>452</v>
      </c>
      <c r="E13" s="361" t="s">
        <v>1364</v>
      </c>
      <c r="F13" s="205">
        <f>VLOOKUP(C13,'SOR RATE'!A:D,4,0)</f>
        <v>100</v>
      </c>
      <c r="G13" s="205">
        <f t="shared" si="0"/>
        <v>1600</v>
      </c>
      <c r="H13" s="361" t="s">
        <v>1364</v>
      </c>
      <c r="I13" s="205">
        <f t="shared" si="2"/>
        <v>100</v>
      </c>
      <c r="J13" s="205">
        <f t="shared" si="1"/>
        <v>1600</v>
      </c>
    </row>
    <row r="14" spans="1:13" ht="15.75" customHeight="1">
      <c r="A14" s="204">
        <v>6</v>
      </c>
      <c r="B14" s="208" t="s">
        <v>1545</v>
      </c>
      <c r="C14" s="280">
        <v>7130820008</v>
      </c>
      <c r="D14" s="204" t="s">
        <v>452</v>
      </c>
      <c r="E14" s="204">
        <v>48</v>
      </c>
      <c r="F14" s="205">
        <f>VLOOKUP(C14,'SOR RATE'!A:D,4,0)</f>
        <v>157</v>
      </c>
      <c r="G14" s="205">
        <f t="shared" si="0"/>
        <v>7536</v>
      </c>
      <c r="H14" s="204">
        <v>48</v>
      </c>
      <c r="I14" s="205">
        <f t="shared" si="2"/>
        <v>157</v>
      </c>
      <c r="J14" s="205">
        <f t="shared" si="1"/>
        <v>7536</v>
      </c>
      <c r="M14" s="1" t="s">
        <v>383</v>
      </c>
    </row>
    <row r="15" spans="1:10" ht="14.25" customHeight="1">
      <c r="A15" s="204">
        <v>7</v>
      </c>
      <c r="B15" s="208" t="s">
        <v>300</v>
      </c>
      <c r="C15" s="280">
        <v>7130830057</v>
      </c>
      <c r="D15" s="204" t="s">
        <v>1368</v>
      </c>
      <c r="E15" s="204">
        <v>3100</v>
      </c>
      <c r="F15" s="205">
        <f>VLOOKUP(C15,'SOR RATE'!A:D,4,0)/1000</f>
        <v>33.544</v>
      </c>
      <c r="G15" s="205">
        <f t="shared" si="0"/>
        <v>103986.4</v>
      </c>
      <c r="H15" s="204"/>
      <c r="I15" s="205"/>
      <c r="J15" s="205"/>
    </row>
    <row r="16" spans="1:10" ht="14.25" customHeight="1">
      <c r="A16" s="204">
        <v>8</v>
      </c>
      <c r="B16" s="208" t="s">
        <v>301</v>
      </c>
      <c r="C16" s="280">
        <v>7130830055</v>
      </c>
      <c r="D16" s="204" t="s">
        <v>1368</v>
      </c>
      <c r="E16" s="204"/>
      <c r="F16" s="205"/>
      <c r="G16" s="205"/>
      <c r="H16" s="204">
        <v>3100</v>
      </c>
      <c r="I16" s="205">
        <f>VLOOKUP(C16,'SOR RATE'!A:D,4,0)/1000</f>
        <v>20.281</v>
      </c>
      <c r="J16" s="205">
        <f>I16*H16</f>
        <v>62871.1</v>
      </c>
    </row>
    <row r="17" spans="1:10" ht="27" customHeight="1">
      <c r="A17" s="283">
        <v>9</v>
      </c>
      <c r="B17" s="163" t="s">
        <v>302</v>
      </c>
      <c r="C17" s="280">
        <v>7130830050</v>
      </c>
      <c r="D17" s="162" t="s">
        <v>452</v>
      </c>
      <c r="E17" s="204">
        <v>6</v>
      </c>
      <c r="F17" s="205">
        <f>VLOOKUP(C17,'SOR RATE'!A:D,4,0)</f>
        <v>32</v>
      </c>
      <c r="G17" s="205">
        <f>F17*E17</f>
        <v>192</v>
      </c>
      <c r="H17" s="204">
        <v>6</v>
      </c>
      <c r="I17" s="205">
        <f t="shared" si="2"/>
        <v>32</v>
      </c>
      <c r="J17" s="205">
        <f>I17*H17</f>
        <v>192</v>
      </c>
    </row>
    <row r="18" spans="1:10" ht="14.25" customHeight="1">
      <c r="A18" s="1141">
        <v>10</v>
      </c>
      <c r="B18" s="213" t="s">
        <v>303</v>
      </c>
      <c r="C18" s="280">
        <v>7130860032</v>
      </c>
      <c r="D18" s="204" t="s">
        <v>452</v>
      </c>
      <c r="E18" s="210">
        <v>4</v>
      </c>
      <c r="F18" s="205">
        <f>VLOOKUP(C18,'SOR RATE'!A:D,4,0)</f>
        <v>387</v>
      </c>
      <c r="G18" s="205">
        <f>F18*E18</f>
        <v>1548</v>
      </c>
      <c r="H18" s="210">
        <v>4</v>
      </c>
      <c r="I18" s="205">
        <f t="shared" si="2"/>
        <v>387</v>
      </c>
      <c r="J18" s="205">
        <f>I18*H18</f>
        <v>1548</v>
      </c>
    </row>
    <row r="19" spans="1:10" ht="15" customHeight="1">
      <c r="A19" s="1142"/>
      <c r="B19" s="208" t="s">
        <v>304</v>
      </c>
      <c r="C19" s="280">
        <v>7130860077</v>
      </c>
      <c r="D19" s="204" t="s">
        <v>458</v>
      </c>
      <c r="E19" s="204">
        <v>22</v>
      </c>
      <c r="F19" s="205">
        <f>VLOOKUP(C19,'SOR RATE'!A:D,4,0)/1000</f>
        <v>61.6</v>
      </c>
      <c r="G19" s="205">
        <f>F19*E19</f>
        <v>1355.2</v>
      </c>
      <c r="H19" s="204">
        <v>22</v>
      </c>
      <c r="I19" s="205">
        <f t="shared" si="2"/>
        <v>61.6</v>
      </c>
      <c r="J19" s="205">
        <f>I19*H19</f>
        <v>1355.2</v>
      </c>
    </row>
    <row r="20" spans="1:10" ht="15" customHeight="1">
      <c r="A20" s="1143"/>
      <c r="B20" s="208" t="s">
        <v>305</v>
      </c>
      <c r="C20" s="280">
        <v>7130810026</v>
      </c>
      <c r="D20" s="204" t="s">
        <v>803</v>
      </c>
      <c r="E20" s="204">
        <v>4</v>
      </c>
      <c r="F20" s="205">
        <f>VLOOKUP(C20,'SOR RATE'!A:D,4,0)</f>
        <v>142</v>
      </c>
      <c r="G20" s="205">
        <f>F20*E20</f>
        <v>568</v>
      </c>
      <c r="H20" s="204">
        <v>4</v>
      </c>
      <c r="I20" s="205">
        <f>+F20</f>
        <v>142</v>
      </c>
      <c r="J20" s="205">
        <f>I20*H20</f>
        <v>568</v>
      </c>
    </row>
    <row r="21" spans="1:10" ht="25.5">
      <c r="A21" s="1141">
        <v>11</v>
      </c>
      <c r="B21" s="169" t="s">
        <v>306</v>
      </c>
      <c r="C21" s="280"/>
      <c r="D21" s="204" t="s">
        <v>454</v>
      </c>
      <c r="E21" s="362">
        <v>2</v>
      </c>
      <c r="F21" s="205"/>
      <c r="G21" s="205"/>
      <c r="H21" s="362">
        <f>+E21</f>
        <v>2</v>
      </c>
      <c r="I21" s="205"/>
      <c r="J21" s="205"/>
    </row>
    <row r="22" spans="1:10" ht="16.5" customHeight="1">
      <c r="A22" s="1143"/>
      <c r="B22" s="208" t="s">
        <v>307</v>
      </c>
      <c r="C22" s="280">
        <v>7130200401</v>
      </c>
      <c r="D22" s="204" t="s">
        <v>458</v>
      </c>
      <c r="E22" s="204">
        <f>208*2</f>
        <v>416</v>
      </c>
      <c r="F22" s="205">
        <f>VLOOKUP(C22,'SOR RATE'!A:D,4,0)/50</f>
        <v>5.36</v>
      </c>
      <c r="G22" s="205">
        <f aca="true" t="shared" si="3" ref="G22:G27">F22*E22</f>
        <v>2229.76</v>
      </c>
      <c r="H22" s="204">
        <f>+E22</f>
        <v>416</v>
      </c>
      <c r="I22" s="205">
        <f t="shared" si="2"/>
        <v>5.36</v>
      </c>
      <c r="J22" s="205">
        <f aca="true" t="shared" si="4" ref="J22:J27">I22*H22</f>
        <v>2229.76</v>
      </c>
    </row>
    <row r="23" spans="1:10" ht="14.25" customHeight="1">
      <c r="A23" s="204">
        <v>12</v>
      </c>
      <c r="B23" s="208" t="s">
        <v>455</v>
      </c>
      <c r="C23" s="280">
        <v>7130211158</v>
      </c>
      <c r="D23" s="204" t="s">
        <v>456</v>
      </c>
      <c r="E23" s="204">
        <v>4</v>
      </c>
      <c r="F23" s="205">
        <f>VLOOKUP(C23,'SOR RATE'!A:D,4,0)</f>
        <v>130</v>
      </c>
      <c r="G23" s="205">
        <f t="shared" si="3"/>
        <v>520</v>
      </c>
      <c r="H23" s="204">
        <v>4</v>
      </c>
      <c r="I23" s="205">
        <f t="shared" si="2"/>
        <v>130</v>
      </c>
      <c r="J23" s="205">
        <f t="shared" si="4"/>
        <v>520</v>
      </c>
    </row>
    <row r="24" spans="1:10" ht="15" customHeight="1">
      <c r="A24" s="204">
        <v>13</v>
      </c>
      <c r="B24" s="208" t="s">
        <v>457</v>
      </c>
      <c r="C24" s="280">
        <v>7130210809</v>
      </c>
      <c r="D24" s="204" t="s">
        <v>456</v>
      </c>
      <c r="E24" s="204">
        <v>4</v>
      </c>
      <c r="F24" s="205">
        <f>VLOOKUP(C24,'SOR RATE'!A:D,4,0)</f>
        <v>290</v>
      </c>
      <c r="G24" s="205">
        <f t="shared" si="3"/>
        <v>1160</v>
      </c>
      <c r="H24" s="204">
        <v>4</v>
      </c>
      <c r="I24" s="205">
        <f>+F24</f>
        <v>290</v>
      </c>
      <c r="J24" s="205">
        <f t="shared" si="4"/>
        <v>1160</v>
      </c>
    </row>
    <row r="25" spans="1:13" ht="12.75" customHeight="1">
      <c r="A25" s="204">
        <v>14</v>
      </c>
      <c r="B25" s="158" t="s">
        <v>308</v>
      </c>
      <c r="C25" s="164">
        <v>7130610206</v>
      </c>
      <c r="D25" s="204" t="s">
        <v>458</v>
      </c>
      <c r="E25" s="204">
        <v>16</v>
      </c>
      <c r="F25" s="205">
        <f>VLOOKUP(C25,'SOR RATE'!A:D,4,0)/1000</f>
        <v>66.528</v>
      </c>
      <c r="G25" s="205">
        <f t="shared" si="3"/>
        <v>1064.448</v>
      </c>
      <c r="H25" s="204">
        <v>16</v>
      </c>
      <c r="I25" s="205">
        <f t="shared" si="2"/>
        <v>66.528</v>
      </c>
      <c r="J25" s="205">
        <f t="shared" si="4"/>
        <v>1064.448</v>
      </c>
      <c r="K25" s="105"/>
      <c r="M25" s="52"/>
    </row>
    <row r="26" spans="1:10" ht="12.75">
      <c r="A26" s="214">
        <v>15</v>
      </c>
      <c r="B26" s="208" t="s">
        <v>1342</v>
      </c>
      <c r="C26" s="280">
        <v>7130880041</v>
      </c>
      <c r="D26" s="204" t="s">
        <v>1553</v>
      </c>
      <c r="E26" s="204">
        <v>16</v>
      </c>
      <c r="F26" s="205">
        <f>VLOOKUP(C26,'SOR RATE'!A:D,4,0)</f>
        <v>74</v>
      </c>
      <c r="G26" s="205">
        <f t="shared" si="3"/>
        <v>1184</v>
      </c>
      <c r="H26" s="204">
        <v>16</v>
      </c>
      <c r="I26" s="205">
        <f t="shared" si="2"/>
        <v>74</v>
      </c>
      <c r="J26" s="205">
        <f t="shared" si="4"/>
        <v>1184</v>
      </c>
    </row>
    <row r="27" spans="1:13" ht="12.75">
      <c r="A27" s="214">
        <v>16</v>
      </c>
      <c r="B27" s="208" t="s">
        <v>309</v>
      </c>
      <c r="C27" s="280">
        <v>7130830006</v>
      </c>
      <c r="D27" s="204" t="s">
        <v>458</v>
      </c>
      <c r="E27" s="204">
        <v>3</v>
      </c>
      <c r="F27" s="205">
        <f>VLOOKUP(C27,'SOR RATE'!A:D,4,0)</f>
        <v>139</v>
      </c>
      <c r="G27" s="205">
        <f t="shared" si="3"/>
        <v>417</v>
      </c>
      <c r="H27" s="204">
        <v>3</v>
      </c>
      <c r="I27" s="205">
        <f t="shared" si="2"/>
        <v>139</v>
      </c>
      <c r="J27" s="205">
        <f t="shared" si="4"/>
        <v>417</v>
      </c>
      <c r="M27" s="363"/>
    </row>
    <row r="28" spans="1:10" ht="12.75">
      <c r="A28" s="1141">
        <v>17</v>
      </c>
      <c r="B28" s="267" t="s">
        <v>310</v>
      </c>
      <c r="C28" s="280"/>
      <c r="D28" s="204" t="s">
        <v>458</v>
      </c>
      <c r="E28" s="210">
        <v>14</v>
      </c>
      <c r="F28" s="221"/>
      <c r="G28" s="221"/>
      <c r="H28" s="210">
        <v>14</v>
      </c>
      <c r="I28" s="205"/>
      <c r="J28" s="205"/>
    </row>
    <row r="29" spans="1:10" ht="12.75">
      <c r="A29" s="1142"/>
      <c r="B29" s="364" t="s">
        <v>1337</v>
      </c>
      <c r="C29" s="280">
        <v>7130620619</v>
      </c>
      <c r="D29" s="204" t="s">
        <v>458</v>
      </c>
      <c r="E29" s="204">
        <v>2</v>
      </c>
      <c r="F29" s="205">
        <f>VLOOKUP(C29,'SOR RATE'!A:D,4,0)</f>
        <v>63</v>
      </c>
      <c r="G29" s="205">
        <f>F29*E29</f>
        <v>126</v>
      </c>
      <c r="H29" s="204">
        <v>2</v>
      </c>
      <c r="I29" s="205">
        <f t="shared" si="2"/>
        <v>63</v>
      </c>
      <c r="J29" s="205">
        <f>I29*H29</f>
        <v>126</v>
      </c>
    </row>
    <row r="30" spans="1:10" ht="12.75">
      <c r="A30" s="1143"/>
      <c r="B30" s="364" t="s">
        <v>1339</v>
      </c>
      <c r="C30" s="280">
        <v>7130620627</v>
      </c>
      <c r="D30" s="204" t="s">
        <v>458</v>
      </c>
      <c r="E30" s="211">
        <v>16</v>
      </c>
      <c r="F30" s="205">
        <f>VLOOKUP(C30,'SOR RATE'!A:D,4,0)</f>
        <v>62</v>
      </c>
      <c r="G30" s="205">
        <f>F30*E30</f>
        <v>992</v>
      </c>
      <c r="H30" s="204">
        <v>16</v>
      </c>
      <c r="I30" s="205">
        <f t="shared" si="2"/>
        <v>62</v>
      </c>
      <c r="J30" s="205">
        <f>I30*H30</f>
        <v>992</v>
      </c>
    </row>
    <row r="31" spans="1:10" ht="12.75">
      <c r="A31" s="1146">
        <v>18</v>
      </c>
      <c r="B31" s="267" t="s">
        <v>311</v>
      </c>
      <c r="C31" s="280"/>
      <c r="D31" s="204"/>
      <c r="E31" s="204"/>
      <c r="F31" s="205">
        <f>G32+G33+G34+G35+G36+G37</f>
        <v>6620.89</v>
      </c>
      <c r="G31" s="205"/>
      <c r="H31" s="204"/>
      <c r="I31" s="205">
        <f>J32+J33+J34+J35+J36+J37</f>
        <v>6620.89</v>
      </c>
      <c r="J31" s="205"/>
    </row>
    <row r="32" spans="1:10" ht="12.75">
      <c r="A32" s="1147"/>
      <c r="B32" s="208" t="s">
        <v>312</v>
      </c>
      <c r="C32" s="350">
        <v>7130810511</v>
      </c>
      <c r="D32" s="204" t="s">
        <v>452</v>
      </c>
      <c r="E32" s="204">
        <v>1</v>
      </c>
      <c r="F32" s="205">
        <f>VLOOKUP(C32,'SOR RATE'!A:D,4,0)</f>
        <v>2485</v>
      </c>
      <c r="G32" s="205">
        <f aca="true" t="shared" si="5" ref="G32:G37">F32*E32</f>
        <v>2485</v>
      </c>
      <c r="H32" s="204">
        <v>1</v>
      </c>
      <c r="I32" s="205">
        <f t="shared" si="2"/>
        <v>2485</v>
      </c>
      <c r="J32" s="205">
        <f aca="true" t="shared" si="6" ref="J32:J37">I32*H32</f>
        <v>2485</v>
      </c>
    </row>
    <row r="33" spans="1:10" ht="14.25" customHeight="1">
      <c r="A33" s="1147"/>
      <c r="B33" s="208" t="s">
        <v>1334</v>
      </c>
      <c r="C33" s="280">
        <v>7130870043</v>
      </c>
      <c r="D33" s="204" t="s">
        <v>458</v>
      </c>
      <c r="E33" s="204">
        <v>35</v>
      </c>
      <c r="F33" s="205">
        <f>VLOOKUP(C33,'SOR RATE'!A:D,4,0)/1000</f>
        <v>55.094</v>
      </c>
      <c r="G33" s="205">
        <f t="shared" si="5"/>
        <v>1928.29</v>
      </c>
      <c r="H33" s="204">
        <v>35</v>
      </c>
      <c r="I33" s="205">
        <f t="shared" si="2"/>
        <v>55.094</v>
      </c>
      <c r="J33" s="205">
        <f t="shared" si="6"/>
        <v>1928.29</v>
      </c>
    </row>
    <row r="34" spans="1:10" ht="12.75">
      <c r="A34" s="1147"/>
      <c r="B34" s="208" t="s">
        <v>305</v>
      </c>
      <c r="C34" s="365">
        <v>7130810026</v>
      </c>
      <c r="D34" s="204" t="s">
        <v>452</v>
      </c>
      <c r="E34" s="204">
        <v>2</v>
      </c>
      <c r="F34" s="205">
        <f>VLOOKUP(C34,'SOR RATE'!A:D,4,0)</f>
        <v>142</v>
      </c>
      <c r="G34" s="205">
        <f t="shared" si="5"/>
        <v>284</v>
      </c>
      <c r="H34" s="204">
        <v>2</v>
      </c>
      <c r="I34" s="205">
        <f t="shared" si="2"/>
        <v>142</v>
      </c>
      <c r="J34" s="205">
        <f t="shared" si="6"/>
        <v>284</v>
      </c>
    </row>
    <row r="35" spans="1:13" ht="15.75">
      <c r="A35" s="1147"/>
      <c r="B35" s="208" t="s">
        <v>313</v>
      </c>
      <c r="C35" s="280">
        <v>7130860077</v>
      </c>
      <c r="D35" s="335" t="s">
        <v>458</v>
      </c>
      <c r="E35" s="335">
        <v>11</v>
      </c>
      <c r="F35" s="205">
        <f>VLOOKUP(C35,'SOR RATE'!A:D,4,0)/1000</f>
        <v>61.6</v>
      </c>
      <c r="G35" s="205">
        <f t="shared" si="5"/>
        <v>677.6</v>
      </c>
      <c r="H35" s="335">
        <v>11</v>
      </c>
      <c r="I35" s="205">
        <f t="shared" si="2"/>
        <v>61.6</v>
      </c>
      <c r="J35" s="205">
        <f t="shared" si="6"/>
        <v>677.6</v>
      </c>
      <c r="M35" s="35"/>
    </row>
    <row r="36" spans="1:10" ht="12.75">
      <c r="A36" s="1147"/>
      <c r="B36" s="208" t="s">
        <v>314</v>
      </c>
      <c r="C36" s="280">
        <v>7130860032</v>
      </c>
      <c r="D36" s="204" t="s">
        <v>452</v>
      </c>
      <c r="E36" s="204">
        <v>2</v>
      </c>
      <c r="F36" s="205">
        <f>VLOOKUP(C36,'SOR RATE'!A:D,4,0)</f>
        <v>387</v>
      </c>
      <c r="G36" s="205">
        <f t="shared" si="5"/>
        <v>774</v>
      </c>
      <c r="H36" s="204">
        <v>2</v>
      </c>
      <c r="I36" s="205">
        <f t="shared" si="2"/>
        <v>387</v>
      </c>
      <c r="J36" s="205">
        <f t="shared" si="6"/>
        <v>774</v>
      </c>
    </row>
    <row r="37" spans="1:10" ht="12.75">
      <c r="A37" s="1148"/>
      <c r="B37" s="208" t="s">
        <v>315</v>
      </c>
      <c r="C37" s="280">
        <v>7130620013</v>
      </c>
      <c r="D37" s="336" t="s">
        <v>452</v>
      </c>
      <c r="E37" s="204">
        <v>4</v>
      </c>
      <c r="F37" s="205">
        <f>VLOOKUP(C37,'SOR RATE'!A:D,4,0)</f>
        <v>118</v>
      </c>
      <c r="G37" s="205">
        <f t="shared" si="5"/>
        <v>472</v>
      </c>
      <c r="H37" s="204">
        <v>4</v>
      </c>
      <c r="I37" s="205">
        <f t="shared" si="2"/>
        <v>118</v>
      </c>
      <c r="J37" s="205">
        <f t="shared" si="6"/>
        <v>472</v>
      </c>
    </row>
    <row r="38" spans="1:12" ht="12.75">
      <c r="A38" s="219">
        <v>19</v>
      </c>
      <c r="B38" s="168" t="s">
        <v>1576</v>
      </c>
      <c r="C38" s="366"/>
      <c r="D38" s="330"/>
      <c r="E38" s="329"/>
      <c r="F38" s="218"/>
      <c r="G38" s="220">
        <f>SUM(G9:G37)</f>
        <v>183547.69800000003</v>
      </c>
      <c r="H38" s="220"/>
      <c r="I38" s="220"/>
      <c r="J38" s="220">
        <f>SUM(J9:J37)</f>
        <v>142432.39800000002</v>
      </c>
      <c r="K38" s="323"/>
      <c r="L38" s="324"/>
    </row>
    <row r="39" spans="1:12" ht="12.75">
      <c r="A39" s="275">
        <v>20</v>
      </c>
      <c r="B39" s="158" t="s">
        <v>1575</v>
      </c>
      <c r="C39" s="367"/>
      <c r="D39" s="333"/>
      <c r="E39" s="333"/>
      <c r="F39" s="280">
        <v>0.09</v>
      </c>
      <c r="G39" s="205">
        <f>G38*F39</f>
        <v>16519.292820000002</v>
      </c>
      <c r="H39" s="280"/>
      <c r="I39" s="280">
        <v>0.09</v>
      </c>
      <c r="J39" s="205">
        <f>J38*I39</f>
        <v>12818.91582</v>
      </c>
      <c r="K39" s="323"/>
      <c r="L39" s="324"/>
    </row>
    <row r="40" spans="1:14" ht="27.75" customHeight="1">
      <c r="A40" s="157">
        <v>21</v>
      </c>
      <c r="B40" s="163" t="s">
        <v>316</v>
      </c>
      <c r="C40" s="368"/>
      <c r="D40" s="162" t="s">
        <v>452</v>
      </c>
      <c r="E40" s="162">
        <v>12</v>
      </c>
      <c r="F40" s="160">
        <f>132*1.11*1.0891*1.086275*1.1112*1.0685</f>
        <v>205.81224590423886</v>
      </c>
      <c r="G40" s="205">
        <f>F40*E40</f>
        <v>2469.7469508508666</v>
      </c>
      <c r="H40" s="162">
        <v>12</v>
      </c>
      <c r="I40" s="160">
        <f>+F40</f>
        <v>205.81224590423886</v>
      </c>
      <c r="J40" s="205">
        <f>I40*H40</f>
        <v>2469.7469508508666</v>
      </c>
      <c r="N40" s="363"/>
    </row>
    <row r="41" spans="1:10" ht="16.5" customHeight="1">
      <c r="A41" s="162">
        <v>22</v>
      </c>
      <c r="B41" s="369" t="s">
        <v>1372</v>
      </c>
      <c r="C41" s="368"/>
      <c r="D41" s="162" t="s">
        <v>454</v>
      </c>
      <c r="E41" s="370">
        <v>2</v>
      </c>
      <c r="F41" s="160">
        <f>1664*1.27*1.0891*1.086275*1.1112*1.0685</f>
        <v>2968.460981603261</v>
      </c>
      <c r="G41" s="205">
        <f>F41*E41</f>
        <v>5936.921963206522</v>
      </c>
      <c r="H41" s="370">
        <v>2</v>
      </c>
      <c r="I41" s="160">
        <f>+F41</f>
        <v>2968.460981603261</v>
      </c>
      <c r="J41" s="205">
        <f>I41*H41</f>
        <v>5936.921963206522</v>
      </c>
    </row>
    <row r="42" spans="1:14" ht="17.25" customHeight="1">
      <c r="A42" s="204">
        <v>23</v>
      </c>
      <c r="B42" s="208" t="s">
        <v>317</v>
      </c>
      <c r="C42" s="280"/>
      <c r="D42" s="204"/>
      <c r="E42" s="204"/>
      <c r="F42" s="204"/>
      <c r="G42" s="205">
        <v>27283.89</v>
      </c>
      <c r="H42" s="205"/>
      <c r="I42" s="371"/>
      <c r="J42" s="205">
        <v>24279.85</v>
      </c>
      <c r="K42" s="100"/>
      <c r="L42" s="55"/>
      <c r="M42" s="52"/>
      <c r="N42" s="52"/>
    </row>
    <row r="43" spans="1:14" ht="39.75" customHeight="1">
      <c r="A43" s="157">
        <v>24</v>
      </c>
      <c r="B43" s="161" t="s">
        <v>318</v>
      </c>
      <c r="C43" s="368"/>
      <c r="D43" s="162"/>
      <c r="E43" s="162"/>
      <c r="F43" s="160"/>
      <c r="G43" s="160">
        <f>1.1*1.1*4108*1.2*1.1*1.1797*1.1402*0.9368</f>
        <v>8267.786144629807</v>
      </c>
      <c r="H43" s="162"/>
      <c r="I43" s="372"/>
      <c r="J43" s="160">
        <f>+G43</f>
        <v>8267.786144629807</v>
      </c>
      <c r="N43" s="363"/>
    </row>
    <row r="44" spans="1:14" ht="12.75">
      <c r="A44" s="373">
        <v>25</v>
      </c>
      <c r="B44" s="168" t="s">
        <v>1577</v>
      </c>
      <c r="C44" s="368"/>
      <c r="D44" s="162"/>
      <c r="E44" s="162"/>
      <c r="F44" s="160"/>
      <c r="G44" s="68">
        <f>G38+G39+G40+G41+G42+G43</f>
        <v>244025.33587868727</v>
      </c>
      <c r="H44" s="67"/>
      <c r="I44" s="374"/>
      <c r="J44" s="68">
        <f>J38+J39+J40+J41+J42+J43</f>
        <v>196205.61887868724</v>
      </c>
      <c r="K44" s="327"/>
      <c r="L44" s="375"/>
      <c r="N44" s="363"/>
    </row>
    <row r="45" spans="1:14" ht="30" customHeight="1">
      <c r="A45" s="162">
        <v>26</v>
      </c>
      <c r="B45" s="158" t="s">
        <v>1578</v>
      </c>
      <c r="C45" s="368"/>
      <c r="D45" s="162"/>
      <c r="E45" s="162"/>
      <c r="F45" s="160">
        <v>0.11</v>
      </c>
      <c r="G45" s="160">
        <f>G38*F45</f>
        <v>20190.246780000005</v>
      </c>
      <c r="H45" s="162"/>
      <c r="I45" s="160">
        <v>0.11</v>
      </c>
      <c r="J45" s="160">
        <f>J38*I45</f>
        <v>15667.563780000002</v>
      </c>
      <c r="K45" s="327"/>
      <c r="L45" s="375"/>
      <c r="N45" s="363"/>
    </row>
    <row r="46" spans="1:10" ht="12.75">
      <c r="A46" s="214">
        <v>27</v>
      </c>
      <c r="B46" s="208" t="s">
        <v>1332</v>
      </c>
      <c r="C46" s="280"/>
      <c r="D46" s="204"/>
      <c r="E46" s="204"/>
      <c r="F46" s="204"/>
      <c r="G46" s="205">
        <f>G44+G45</f>
        <v>264215.58265868726</v>
      </c>
      <c r="H46" s="205"/>
      <c r="I46" s="205"/>
      <c r="J46" s="205">
        <f>J44+J45</f>
        <v>211873.18265868723</v>
      </c>
    </row>
    <row r="47" spans="1:10" ht="27">
      <c r="A47" s="376">
        <v>28</v>
      </c>
      <c r="B47" s="377" t="s">
        <v>1333</v>
      </c>
      <c r="C47" s="378"/>
      <c r="D47" s="379"/>
      <c r="E47" s="379"/>
      <c r="F47" s="380"/>
      <c r="G47" s="380">
        <f>ROUND(G46,0)</f>
        <v>264216</v>
      </c>
      <c r="H47" s="379"/>
      <c r="I47" s="381"/>
      <c r="J47" s="380">
        <f>ROUND(J46,0)</f>
        <v>211873</v>
      </c>
    </row>
    <row r="48" spans="1:10" ht="12.75">
      <c r="A48" s="382"/>
      <c r="B48" s="272"/>
      <c r="C48" s="383"/>
      <c r="D48" s="384"/>
      <c r="E48" s="384"/>
      <c r="F48" s="385"/>
      <c r="G48" s="385"/>
      <c r="H48" s="384"/>
      <c r="I48" s="386"/>
      <c r="J48" s="385"/>
    </row>
    <row r="49" spans="1:9" ht="12.75">
      <c r="A49" s="387" t="s">
        <v>319</v>
      </c>
      <c r="B49" s="73"/>
      <c r="C49" s="388"/>
      <c r="I49" s="389"/>
    </row>
    <row r="50" spans="1:9" ht="12.75">
      <c r="A50" s="317"/>
      <c r="B50" s="30" t="s">
        <v>462</v>
      </c>
      <c r="C50" s="343"/>
      <c r="D50" s="271"/>
      <c r="E50" s="271"/>
      <c r="F50" s="271"/>
      <c r="G50" s="271"/>
      <c r="I50" s="389"/>
    </row>
    <row r="52" spans="2:13" ht="16.5" customHeight="1">
      <c r="B52" s="318"/>
      <c r="C52" s="318"/>
      <c r="M52" s="318"/>
    </row>
    <row r="53" spans="2:3" ht="15.75" customHeight="1">
      <c r="B53" s="318"/>
      <c r="C53" s="318"/>
    </row>
    <row r="63" spans="2:3" ht="15.75">
      <c r="B63" s="1145" t="s">
        <v>549</v>
      </c>
      <c r="C63" s="1145"/>
    </row>
    <row r="65" spans="2:4" ht="12.75">
      <c r="B65" s="208" t="s">
        <v>299</v>
      </c>
      <c r="C65" s="280">
        <v>7130820155</v>
      </c>
      <c r="D65" s="204" t="s">
        <v>452</v>
      </c>
    </row>
  </sheetData>
  <sheetProtection/>
  <mergeCells count="17">
    <mergeCell ref="H6:J6"/>
    <mergeCell ref="A1:B1"/>
    <mergeCell ref="C1:G1"/>
    <mergeCell ref="H1:J1"/>
    <mergeCell ref="A2:J2"/>
    <mergeCell ref="B3:H3"/>
    <mergeCell ref="I3:J3"/>
    <mergeCell ref="A6:A7"/>
    <mergeCell ref="B6:B7"/>
    <mergeCell ref="D6:D7"/>
    <mergeCell ref="A18:A20"/>
    <mergeCell ref="A21:A22"/>
    <mergeCell ref="E6:G6"/>
    <mergeCell ref="B63:C63"/>
    <mergeCell ref="A28:A30"/>
    <mergeCell ref="A31:A37"/>
    <mergeCell ref="C6:C7"/>
  </mergeCells>
  <printOptions gridLines="1" horizontalCentered="1"/>
  <pageMargins left="1" right="0.17" top="0.56" bottom="0.39" header="0.27" footer="0.12"/>
  <pageSetup fitToHeight="2" horizontalDpi="300" verticalDpi="300" orientation="landscape" paperSize="9" scale="116" r:id="rId1"/>
  <rowBreaks count="2" manualBreakCount="2">
    <brk id="26" max="12" man="1"/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M62"/>
  <sheetViews>
    <sheetView zoomScale="85" zoomScaleNormal="85" zoomScaleSheetLayoutView="70" zoomScalePageLayoutView="0" workbookViewId="0" topLeftCell="A1">
      <pane xSplit="2" ySplit="7" topLeftCell="C8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9.140625" defaultRowHeight="12.75"/>
  <cols>
    <col min="1" max="1" width="5.57421875" style="36" customWidth="1"/>
    <col min="2" max="2" width="52.00390625" style="1" customWidth="1"/>
    <col min="3" max="3" width="16.7109375" style="1" bestFit="1" customWidth="1"/>
    <col min="4" max="4" width="6.140625" style="1" customWidth="1"/>
    <col min="5" max="5" width="11.28125" style="1" customWidth="1"/>
    <col min="6" max="6" width="6.57421875" style="1" bestFit="1" customWidth="1"/>
    <col min="7" max="7" width="13.8515625" style="1" customWidth="1"/>
    <col min="8" max="8" width="6.57421875" style="1" bestFit="1" customWidth="1"/>
    <col min="9" max="9" width="13.8515625" style="1" bestFit="1" customWidth="1"/>
    <col min="10" max="10" width="18.57421875" style="1" customWidth="1"/>
    <col min="11" max="11" width="15.140625" style="1" customWidth="1"/>
    <col min="12" max="12" width="15.00390625" style="1" customWidth="1"/>
    <col min="13" max="13" width="24.00390625" style="1" bestFit="1" customWidth="1"/>
    <col min="14" max="14" width="8.140625" style="1" bestFit="1" customWidth="1"/>
    <col min="15" max="15" width="5.140625" style="1" bestFit="1" customWidth="1"/>
    <col min="16" max="16384" width="9.140625" style="1" customWidth="1"/>
  </cols>
  <sheetData>
    <row r="1" spans="2:9" ht="18">
      <c r="B1" s="57"/>
      <c r="C1" s="1153" t="s">
        <v>398</v>
      </c>
      <c r="D1" s="1153"/>
      <c r="E1" s="1153"/>
      <c r="F1" s="1153"/>
      <c r="G1" s="57"/>
      <c r="H1" s="57"/>
      <c r="I1" s="57"/>
    </row>
    <row r="2" spans="1:9" ht="18">
      <c r="A2" s="235"/>
      <c r="B2" s="235"/>
      <c r="C2" s="235"/>
      <c r="D2" s="235"/>
      <c r="E2" s="235"/>
      <c r="F2" s="235"/>
      <c r="G2" s="235"/>
      <c r="H2" s="235"/>
      <c r="I2" s="235"/>
    </row>
    <row r="3" spans="2:9" ht="36" customHeight="1">
      <c r="B3" s="1164" t="s">
        <v>399</v>
      </c>
      <c r="C3" s="1164"/>
      <c r="D3" s="1164"/>
      <c r="E3" s="1164"/>
      <c r="F3" s="1164"/>
      <c r="G3" s="1164"/>
      <c r="H3" s="802"/>
      <c r="I3" s="802"/>
    </row>
    <row r="4" spans="1:9" ht="15.75">
      <c r="A4" s="421"/>
      <c r="B4" s="421"/>
      <c r="C4" s="421"/>
      <c r="D4" s="421"/>
      <c r="E4" s="421"/>
      <c r="F4" s="421"/>
      <c r="G4" s="421"/>
      <c r="H4" s="421"/>
      <c r="I4" s="421"/>
    </row>
    <row r="5" spans="1:9" ht="15.75">
      <c r="A5" s="352"/>
      <c r="B5" s="352"/>
      <c r="C5" s="803"/>
      <c r="D5" s="352"/>
      <c r="E5" s="352"/>
      <c r="F5" s="352"/>
      <c r="G5" s="352"/>
      <c r="I5" s="112" t="s">
        <v>551</v>
      </c>
    </row>
    <row r="6" spans="1:9" ht="50.25" customHeight="1">
      <c r="A6" s="1262" t="s">
        <v>1335</v>
      </c>
      <c r="B6" s="1291" t="s">
        <v>449</v>
      </c>
      <c r="C6" s="1274" t="s">
        <v>53</v>
      </c>
      <c r="D6" s="1291" t="s">
        <v>450</v>
      </c>
      <c r="E6" s="1291" t="s">
        <v>799</v>
      </c>
      <c r="F6" s="1262" t="s">
        <v>400</v>
      </c>
      <c r="G6" s="1262"/>
      <c r="H6" s="1262" t="s">
        <v>401</v>
      </c>
      <c r="I6" s="1262"/>
    </row>
    <row r="7" spans="1:9" ht="18.75" customHeight="1">
      <c r="A7" s="1262"/>
      <c r="B7" s="1292"/>
      <c r="C7" s="1301"/>
      <c r="D7" s="1292"/>
      <c r="E7" s="1301"/>
      <c r="F7" s="15" t="s">
        <v>1315</v>
      </c>
      <c r="G7" s="15" t="s">
        <v>7</v>
      </c>
      <c r="H7" s="17" t="s">
        <v>1315</v>
      </c>
      <c r="I7" s="15" t="s">
        <v>800</v>
      </c>
    </row>
    <row r="8" spans="1:9" ht="15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33" customHeight="1">
      <c r="A9" s="686">
        <v>1</v>
      </c>
      <c r="B9" s="127" t="s">
        <v>402</v>
      </c>
      <c r="C9" s="711">
        <v>7130601958</v>
      </c>
      <c r="D9" s="171" t="s">
        <v>458</v>
      </c>
      <c r="E9" s="172">
        <f>VLOOKUP(C9,'SOR RATE'!A:D,4,0)/1000</f>
        <v>44.989</v>
      </c>
      <c r="F9" s="691">
        <v>5788</v>
      </c>
      <c r="G9" s="176">
        <f>E9*F9</f>
        <v>260396.332</v>
      </c>
      <c r="H9" s="691">
        <f>+F9</f>
        <v>5788</v>
      </c>
      <c r="I9" s="176">
        <f>H9*E9</f>
        <v>260396.332</v>
      </c>
    </row>
    <row r="10" spans="1:11" ht="15">
      <c r="A10" s="686">
        <v>2</v>
      </c>
      <c r="B10" s="173" t="s">
        <v>1490</v>
      </c>
      <c r="C10" s="804">
        <v>7130810495</v>
      </c>
      <c r="D10" s="686" t="s">
        <v>452</v>
      </c>
      <c r="E10" s="172">
        <f>VLOOKUP(C10,'SOR RATE'!A:D,4,0)</f>
        <v>1048</v>
      </c>
      <c r="F10" s="691">
        <v>12</v>
      </c>
      <c r="G10" s="176">
        <f aca="true" t="shared" si="0" ref="G10:G15">E10*F10</f>
        <v>12576</v>
      </c>
      <c r="H10" s="691">
        <v>12</v>
      </c>
      <c r="I10" s="176">
        <f aca="true" t="shared" si="1" ref="I10:I28">H10*E10</f>
        <v>12576</v>
      </c>
      <c r="K10" s="805"/>
    </row>
    <row r="11" spans="1:11" ht="15">
      <c r="A11" s="686">
        <v>3</v>
      </c>
      <c r="B11" s="173" t="s">
        <v>1063</v>
      </c>
      <c r="C11" s="804">
        <v>7130810361</v>
      </c>
      <c r="D11" s="686" t="s">
        <v>452</v>
      </c>
      <c r="E11" s="172">
        <f>VLOOKUP(C11,'SOR RATE'!A:D,4,0)</f>
        <v>282</v>
      </c>
      <c r="F11" s="691">
        <v>12</v>
      </c>
      <c r="G11" s="176">
        <f t="shared" si="0"/>
        <v>3384</v>
      </c>
      <c r="H11" s="691">
        <v>12</v>
      </c>
      <c r="I11" s="176">
        <f t="shared" si="1"/>
        <v>3384</v>
      </c>
      <c r="K11" s="7"/>
    </row>
    <row r="12" spans="1:11" ht="15">
      <c r="A12" s="686">
        <v>4</v>
      </c>
      <c r="B12" s="173" t="s">
        <v>1492</v>
      </c>
      <c r="C12" s="804">
        <v>7130810679</v>
      </c>
      <c r="D12" s="686" t="s">
        <v>452</v>
      </c>
      <c r="E12" s="172">
        <f>VLOOKUP(C12,'SOR RATE'!A:D,4,0)</f>
        <v>294</v>
      </c>
      <c r="F12" s="691">
        <v>12</v>
      </c>
      <c r="G12" s="176">
        <f>E12*F12</f>
        <v>3528</v>
      </c>
      <c r="H12" s="691">
        <v>12</v>
      </c>
      <c r="I12" s="176">
        <f t="shared" si="1"/>
        <v>3528</v>
      </c>
      <c r="K12" s="806"/>
    </row>
    <row r="13" spans="1:11" ht="30">
      <c r="A13" s="686">
        <v>5</v>
      </c>
      <c r="B13" s="174" t="s">
        <v>1052</v>
      </c>
      <c r="C13" s="804">
        <v>7130870013</v>
      </c>
      <c r="D13" s="686" t="s">
        <v>452</v>
      </c>
      <c r="E13" s="172">
        <f>VLOOKUP(C13,'SOR RATE'!A:D,4,0)</f>
        <v>100</v>
      </c>
      <c r="F13" s="691">
        <v>12</v>
      </c>
      <c r="G13" s="176">
        <f t="shared" si="0"/>
        <v>1200</v>
      </c>
      <c r="H13" s="691">
        <v>12</v>
      </c>
      <c r="I13" s="176">
        <f t="shared" si="1"/>
        <v>1200</v>
      </c>
      <c r="K13" s="328"/>
    </row>
    <row r="14" spans="1:12" ht="19.5" customHeight="1">
      <c r="A14" s="686">
        <v>6</v>
      </c>
      <c r="B14" s="119" t="s">
        <v>168</v>
      </c>
      <c r="C14" s="804">
        <v>7130820008</v>
      </c>
      <c r="D14" s="686" t="s">
        <v>452</v>
      </c>
      <c r="E14" s="172">
        <f>VLOOKUP(C14,'SOR RATE'!A:D,4,0)</f>
        <v>157</v>
      </c>
      <c r="F14" s="691">
        <v>36</v>
      </c>
      <c r="G14" s="176">
        <f t="shared" si="0"/>
        <v>5652</v>
      </c>
      <c r="H14" s="691">
        <v>36</v>
      </c>
      <c r="I14" s="176">
        <f t="shared" si="1"/>
        <v>5652</v>
      </c>
      <c r="K14" s="1299" t="s">
        <v>169</v>
      </c>
      <c r="L14" s="1299"/>
    </row>
    <row r="15" spans="1:9" ht="21.75" customHeight="1">
      <c r="A15" s="686">
        <v>7</v>
      </c>
      <c r="B15" s="173" t="s">
        <v>1493</v>
      </c>
      <c r="C15" s="711">
        <v>7130830060</v>
      </c>
      <c r="D15" s="171" t="s">
        <v>1368</v>
      </c>
      <c r="E15" s="172">
        <f>VLOOKUP(C15,'SOR RATE'!A:D,4,0)/1000</f>
        <v>50.002</v>
      </c>
      <c r="F15" s="691">
        <v>3100</v>
      </c>
      <c r="G15" s="176">
        <f t="shared" si="0"/>
        <v>155006.2</v>
      </c>
      <c r="H15" s="686"/>
      <c r="I15" s="176"/>
    </row>
    <row r="16" spans="1:9" ht="20.25" customHeight="1">
      <c r="A16" s="686">
        <v>8</v>
      </c>
      <c r="B16" s="173" t="s">
        <v>1494</v>
      </c>
      <c r="C16" s="711">
        <v>7130830063</v>
      </c>
      <c r="D16" s="171" t="s">
        <v>1368</v>
      </c>
      <c r="E16" s="172">
        <f>VLOOKUP(C16,'SOR RATE'!A:D,4,0)/1000</f>
        <v>64.842</v>
      </c>
      <c r="F16" s="176"/>
      <c r="G16" s="176"/>
      <c r="H16" s="691">
        <v>3100</v>
      </c>
      <c r="I16" s="176">
        <f>H16*E16</f>
        <v>201010.19999999998</v>
      </c>
    </row>
    <row r="17" spans="1:11" ht="33" customHeight="1">
      <c r="A17" s="686">
        <v>9</v>
      </c>
      <c r="B17" s="173" t="s">
        <v>1495</v>
      </c>
      <c r="C17" s="171">
        <v>7130830051</v>
      </c>
      <c r="D17" s="171" t="s">
        <v>452</v>
      </c>
      <c r="E17" s="172">
        <f>VLOOKUP(C17,'SOR RATE'!A:D,4,0)</f>
        <v>126</v>
      </c>
      <c r="F17" s="691">
        <v>6</v>
      </c>
      <c r="G17" s="176">
        <f>E17*F17</f>
        <v>756</v>
      </c>
      <c r="H17" s="686">
        <v>6</v>
      </c>
      <c r="I17" s="176">
        <f t="shared" si="1"/>
        <v>756</v>
      </c>
      <c r="J17" s="56"/>
      <c r="K17" s="509"/>
    </row>
    <row r="18" spans="1:9" ht="15">
      <c r="A18" s="1254">
        <v>10</v>
      </c>
      <c r="B18" s="807" t="s">
        <v>1340</v>
      </c>
      <c r="C18" s="804">
        <v>7130860033</v>
      </c>
      <c r="D18" s="686" t="s">
        <v>452</v>
      </c>
      <c r="E18" s="172">
        <f>VLOOKUP(C18,'SOR RATE'!A:D,4,0)</f>
        <v>705</v>
      </c>
      <c r="F18" s="691">
        <v>4</v>
      </c>
      <c r="G18" s="176">
        <f>E18*F18</f>
        <v>2820</v>
      </c>
      <c r="H18" s="691">
        <v>4</v>
      </c>
      <c r="I18" s="176">
        <f t="shared" si="1"/>
        <v>2820</v>
      </c>
    </row>
    <row r="19" spans="1:9" ht="18.75" customHeight="1">
      <c r="A19" s="1255"/>
      <c r="B19" s="808" t="s">
        <v>1496</v>
      </c>
      <c r="C19" s="804">
        <v>7130860076</v>
      </c>
      <c r="D19" s="686" t="s">
        <v>458</v>
      </c>
      <c r="E19" s="172">
        <f>VLOOKUP(C19,'SOR RATE'!A:D,4,0)/1000</f>
        <v>61.002</v>
      </c>
      <c r="F19" s="691">
        <v>34</v>
      </c>
      <c r="G19" s="176">
        <f>E19*F19</f>
        <v>2074.068</v>
      </c>
      <c r="H19" s="691">
        <f>+F19</f>
        <v>34</v>
      </c>
      <c r="I19" s="176">
        <f t="shared" si="1"/>
        <v>2074.068</v>
      </c>
    </row>
    <row r="20" spans="1:9" ht="15">
      <c r="A20" s="1255"/>
      <c r="B20" s="808" t="s">
        <v>330</v>
      </c>
      <c r="C20" s="809"/>
      <c r="D20" s="810"/>
      <c r="E20" s="810"/>
      <c r="F20" s="810"/>
      <c r="G20" s="810"/>
      <c r="H20" s="810"/>
      <c r="I20" s="811"/>
    </row>
    <row r="21" spans="1:11" ht="15">
      <c r="A21" s="1256"/>
      <c r="B21" s="698" t="s">
        <v>752</v>
      </c>
      <c r="C21" s="711">
        <v>7130810692</v>
      </c>
      <c r="D21" s="721" t="s">
        <v>452</v>
      </c>
      <c r="E21" s="172">
        <f>VLOOKUP(C21,'SOR RATE'!A:D,4,0)</f>
        <v>294</v>
      </c>
      <c r="F21" s="691">
        <v>4</v>
      </c>
      <c r="G21" s="176">
        <f aca="true" t="shared" si="2" ref="G21:G28">E21*F21</f>
        <v>1176</v>
      </c>
      <c r="H21" s="691">
        <v>4</v>
      </c>
      <c r="I21" s="176">
        <f t="shared" si="1"/>
        <v>1176</v>
      </c>
      <c r="K21" s="805"/>
    </row>
    <row r="22" spans="1:9" ht="33.75" customHeight="1">
      <c r="A22" s="1293">
        <v>11</v>
      </c>
      <c r="B22" s="126" t="s">
        <v>753</v>
      </c>
      <c r="C22" s="804"/>
      <c r="D22" s="176" t="s">
        <v>454</v>
      </c>
      <c r="E22" s="176"/>
      <c r="F22" s="695">
        <v>9</v>
      </c>
      <c r="G22" s="696"/>
      <c r="H22" s="695">
        <f>+F22</f>
        <v>9</v>
      </c>
      <c r="I22" s="176"/>
    </row>
    <row r="23" spans="1:9" ht="16.5" customHeight="1">
      <c r="A23" s="1294"/>
      <c r="B23" s="690" t="s">
        <v>1346</v>
      </c>
      <c r="C23" s="804">
        <v>7130200401</v>
      </c>
      <c r="D23" s="686" t="s">
        <v>458</v>
      </c>
      <c r="E23" s="172">
        <f>VLOOKUP(C23,'SOR RATE'!A:D,4,0)/50</f>
        <v>5.36</v>
      </c>
      <c r="F23" s="691">
        <v>1872</v>
      </c>
      <c r="G23" s="176">
        <f t="shared" si="2"/>
        <v>10033.92</v>
      </c>
      <c r="H23" s="691">
        <f>+F23</f>
        <v>1872</v>
      </c>
      <c r="I23" s="176">
        <f t="shared" si="1"/>
        <v>10033.92</v>
      </c>
    </row>
    <row r="24" spans="1:9" ht="15">
      <c r="A24" s="686">
        <v>12</v>
      </c>
      <c r="B24" s="808" t="s">
        <v>1053</v>
      </c>
      <c r="C24" s="804">
        <v>7130211158</v>
      </c>
      <c r="D24" s="686" t="s">
        <v>456</v>
      </c>
      <c r="E24" s="172">
        <f>VLOOKUP(C24,'SOR RATE'!A:D,4,0)</f>
        <v>130</v>
      </c>
      <c r="F24" s="691">
        <v>2</v>
      </c>
      <c r="G24" s="176">
        <f t="shared" si="2"/>
        <v>260</v>
      </c>
      <c r="H24" s="691">
        <v>2</v>
      </c>
      <c r="I24" s="176">
        <f t="shared" si="1"/>
        <v>260</v>
      </c>
    </row>
    <row r="25" spans="1:9" ht="15">
      <c r="A25" s="686">
        <v>13</v>
      </c>
      <c r="B25" s="808" t="s">
        <v>457</v>
      </c>
      <c r="C25" s="804">
        <v>7130210809</v>
      </c>
      <c r="D25" s="686" t="s">
        <v>456</v>
      </c>
      <c r="E25" s="172">
        <f>VLOOKUP(C25,'SOR RATE'!A:D,4,0)</f>
        <v>290</v>
      </c>
      <c r="F25" s="691">
        <v>2</v>
      </c>
      <c r="G25" s="176">
        <f t="shared" si="2"/>
        <v>580</v>
      </c>
      <c r="H25" s="691">
        <v>2</v>
      </c>
      <c r="I25" s="176">
        <f t="shared" si="1"/>
        <v>580</v>
      </c>
    </row>
    <row r="26" spans="1:13" ht="20.25" customHeight="1">
      <c r="A26" s="686">
        <v>14</v>
      </c>
      <c r="B26" s="119" t="s">
        <v>308</v>
      </c>
      <c r="C26" s="12">
        <v>7130610206</v>
      </c>
      <c r="D26" s="128" t="s">
        <v>458</v>
      </c>
      <c r="E26" s="172">
        <f>VLOOKUP(C26,'SOR RATE'!A:D,4,0)/1000</f>
        <v>66.528</v>
      </c>
      <c r="F26" s="691">
        <v>12</v>
      </c>
      <c r="G26" s="176">
        <f t="shared" si="2"/>
        <v>798.336</v>
      </c>
      <c r="H26" s="691">
        <v>12</v>
      </c>
      <c r="I26" s="176">
        <f t="shared" si="1"/>
        <v>798.336</v>
      </c>
      <c r="J26" s="1115"/>
      <c r="K26" s="64"/>
      <c r="L26" s="64"/>
      <c r="M26" s="64"/>
    </row>
    <row r="27" spans="1:9" ht="15">
      <c r="A27" s="686">
        <v>15</v>
      </c>
      <c r="B27" s="690" t="s">
        <v>1342</v>
      </c>
      <c r="C27" s="804">
        <v>7130880041</v>
      </c>
      <c r="D27" s="686" t="s">
        <v>1553</v>
      </c>
      <c r="E27" s="172">
        <f>VLOOKUP(C27,'SOR RATE'!A:D,4,0)</f>
        <v>74</v>
      </c>
      <c r="F27" s="691">
        <v>12</v>
      </c>
      <c r="G27" s="176">
        <f t="shared" si="2"/>
        <v>888</v>
      </c>
      <c r="H27" s="691">
        <v>12</v>
      </c>
      <c r="I27" s="176">
        <f t="shared" si="1"/>
        <v>888</v>
      </c>
    </row>
    <row r="28" spans="1:9" ht="19.5" customHeight="1">
      <c r="A28" s="686">
        <v>16</v>
      </c>
      <c r="B28" s="690" t="s">
        <v>296</v>
      </c>
      <c r="C28" s="804">
        <v>7130830006</v>
      </c>
      <c r="D28" s="686" t="s">
        <v>458</v>
      </c>
      <c r="E28" s="172">
        <f>VLOOKUP(C28,'SOR RATE'!A:D,4,0)</f>
        <v>139</v>
      </c>
      <c r="F28" s="691">
        <v>6</v>
      </c>
      <c r="G28" s="176">
        <f t="shared" si="2"/>
        <v>834</v>
      </c>
      <c r="H28" s="691">
        <v>6</v>
      </c>
      <c r="I28" s="176">
        <f t="shared" si="1"/>
        <v>834</v>
      </c>
    </row>
    <row r="29" spans="1:9" ht="15">
      <c r="A29" s="1254">
        <v>17</v>
      </c>
      <c r="B29" s="807" t="s">
        <v>310</v>
      </c>
      <c r="C29" s="804"/>
      <c r="D29" s="686" t="s">
        <v>458</v>
      </c>
      <c r="E29" s="686"/>
      <c r="F29" s="691">
        <v>24</v>
      </c>
      <c r="G29" s="176"/>
      <c r="H29" s="691">
        <v>24</v>
      </c>
      <c r="I29" s="176"/>
    </row>
    <row r="30" spans="1:9" ht="15">
      <c r="A30" s="1255"/>
      <c r="B30" s="117" t="s">
        <v>438</v>
      </c>
      <c r="C30" s="708">
        <v>7130620609</v>
      </c>
      <c r="D30" s="686" t="s">
        <v>458</v>
      </c>
      <c r="E30" s="172">
        <f>VLOOKUP(C30,'SOR RATE'!A:D,4,0)</f>
        <v>64</v>
      </c>
      <c r="F30" s="691">
        <v>1</v>
      </c>
      <c r="G30" s="176">
        <f>E30*F30</f>
        <v>64</v>
      </c>
      <c r="H30" s="691">
        <v>1</v>
      </c>
      <c r="I30" s="176">
        <f>H30*E30</f>
        <v>64</v>
      </c>
    </row>
    <row r="31" spans="1:9" ht="15.75" customHeight="1">
      <c r="A31" s="1255"/>
      <c r="B31" s="117" t="s">
        <v>1336</v>
      </c>
      <c r="C31" s="708">
        <v>7130620614</v>
      </c>
      <c r="D31" s="686" t="s">
        <v>458</v>
      </c>
      <c r="E31" s="172">
        <f>VLOOKUP(C31,'SOR RATE'!A:D,4,0)</f>
        <v>63</v>
      </c>
      <c r="F31" s="691">
        <v>12</v>
      </c>
      <c r="G31" s="176">
        <f>E31*F31</f>
        <v>756</v>
      </c>
      <c r="H31" s="691">
        <v>12</v>
      </c>
      <c r="I31" s="176">
        <f>H31*E31</f>
        <v>756</v>
      </c>
    </row>
    <row r="32" spans="1:9" ht="15">
      <c r="A32" s="1256"/>
      <c r="B32" s="117" t="s">
        <v>1338</v>
      </c>
      <c r="C32" s="708">
        <v>7130620625</v>
      </c>
      <c r="D32" s="686" t="s">
        <v>458</v>
      </c>
      <c r="E32" s="172">
        <f>VLOOKUP(C32,'SOR RATE'!A:D,4,0)</f>
        <v>62</v>
      </c>
      <c r="F32" s="721" t="s">
        <v>1183</v>
      </c>
      <c r="G32" s="176">
        <f>E32*F32</f>
        <v>682</v>
      </c>
      <c r="H32" s="721" t="s">
        <v>1183</v>
      </c>
      <c r="I32" s="176">
        <f>H32*E32</f>
        <v>682</v>
      </c>
    </row>
    <row r="33" spans="1:11" ht="16.5" customHeight="1">
      <c r="A33" s="17">
        <v>18</v>
      </c>
      <c r="B33" s="125" t="s">
        <v>1576</v>
      </c>
      <c r="C33" s="804"/>
      <c r="D33" s="812"/>
      <c r="E33" s="812"/>
      <c r="F33" s="813"/>
      <c r="G33" s="813">
        <f>SUM(G9:G32)</f>
        <v>463464.856</v>
      </c>
      <c r="H33" s="813"/>
      <c r="I33" s="813">
        <f>SUM(I9:I32)</f>
        <v>509468.856</v>
      </c>
      <c r="J33" s="101"/>
      <c r="K33" s="7"/>
    </row>
    <row r="34" spans="1:11" ht="18" customHeight="1">
      <c r="A34" s="175">
        <v>19</v>
      </c>
      <c r="B34" s="119" t="s">
        <v>1575</v>
      </c>
      <c r="C34" s="699"/>
      <c r="D34" s="700"/>
      <c r="E34" s="176">
        <v>0.09</v>
      </c>
      <c r="F34" s="814"/>
      <c r="G34" s="176">
        <f>G33*E34</f>
        <v>41711.83704</v>
      </c>
      <c r="H34" s="814"/>
      <c r="I34" s="176">
        <f>I33*E34</f>
        <v>45852.19704</v>
      </c>
      <c r="J34" s="101"/>
      <c r="K34" s="97"/>
    </row>
    <row r="35" spans="1:9" ht="19.5" customHeight="1">
      <c r="A35" s="171">
        <v>20</v>
      </c>
      <c r="B35" s="698" t="s">
        <v>1372</v>
      </c>
      <c r="C35" s="711"/>
      <c r="D35" s="171" t="s">
        <v>454</v>
      </c>
      <c r="E35" s="172">
        <f>1664*1.27*1.0891*1.086275*1.1112*1.0685</f>
        <v>2968.460981603261</v>
      </c>
      <c r="F35" s="713">
        <v>9</v>
      </c>
      <c r="G35" s="815">
        <f>E35*F35</f>
        <v>26716.14883442935</v>
      </c>
      <c r="H35" s="713">
        <f>+F35</f>
        <v>9</v>
      </c>
      <c r="I35" s="172">
        <f>H35*E35</f>
        <v>26716.14883442935</v>
      </c>
    </row>
    <row r="36" spans="1:10" ht="19.5" customHeight="1">
      <c r="A36" s="686">
        <v>21</v>
      </c>
      <c r="B36" s="808" t="s">
        <v>764</v>
      </c>
      <c r="C36" s="804"/>
      <c r="D36" s="686"/>
      <c r="E36" s="176"/>
      <c r="F36" s="686"/>
      <c r="G36" s="176">
        <v>39049.8</v>
      </c>
      <c r="H36" s="686"/>
      <c r="I36" s="176">
        <v>40255.17</v>
      </c>
      <c r="J36" s="35"/>
    </row>
    <row r="37" spans="1:9" ht="45">
      <c r="A37" s="171">
        <v>22</v>
      </c>
      <c r="B37" s="173" t="s">
        <v>765</v>
      </c>
      <c r="C37" s="711"/>
      <c r="D37" s="171"/>
      <c r="E37" s="172">
        <f>1.1*4518*1.2*1.1*1.1797*1.1402*0.9368</f>
        <v>8266.322431051927</v>
      </c>
      <c r="F37" s="172"/>
      <c r="G37" s="172">
        <f>+E37</f>
        <v>8266.322431051927</v>
      </c>
      <c r="H37" s="171"/>
      <c r="I37" s="172">
        <f>+E37</f>
        <v>8266.322431051927</v>
      </c>
    </row>
    <row r="38" spans="1:10" ht="15.75">
      <c r="A38" s="15">
        <v>23</v>
      </c>
      <c r="B38" s="125" t="s">
        <v>1577</v>
      </c>
      <c r="C38" s="711"/>
      <c r="D38" s="171"/>
      <c r="E38" s="172"/>
      <c r="F38" s="172"/>
      <c r="G38" s="4">
        <f>G33+G34+G35+G36+G37</f>
        <v>579208.9643054813</v>
      </c>
      <c r="H38" s="4"/>
      <c r="I38" s="4">
        <f>I33+I34+I35+I36+I37</f>
        <v>630558.6943054813</v>
      </c>
      <c r="J38" s="102"/>
    </row>
    <row r="39" spans="1:10" ht="33.75" customHeight="1">
      <c r="A39" s="171">
        <v>24</v>
      </c>
      <c r="B39" s="119" t="s">
        <v>1578</v>
      </c>
      <c r="C39" s="711"/>
      <c r="D39" s="171"/>
      <c r="E39" s="172">
        <v>0.11</v>
      </c>
      <c r="F39" s="172"/>
      <c r="G39" s="172">
        <f>G33*E39</f>
        <v>50981.13416</v>
      </c>
      <c r="H39" s="171"/>
      <c r="I39" s="172">
        <f>I33*E39</f>
        <v>56041.574160000004</v>
      </c>
      <c r="J39" s="102"/>
    </row>
    <row r="40" spans="1:9" ht="15">
      <c r="A40" s="171">
        <v>25</v>
      </c>
      <c r="B40" s="173" t="s">
        <v>1332</v>
      </c>
      <c r="C40" s="711"/>
      <c r="D40" s="171"/>
      <c r="E40" s="171"/>
      <c r="F40" s="172"/>
      <c r="G40" s="172">
        <f>G38+G39</f>
        <v>630190.0984654813</v>
      </c>
      <c r="H40" s="172"/>
      <c r="I40" s="172">
        <f>I38+I39</f>
        <v>686600.2684654812</v>
      </c>
    </row>
    <row r="41" spans="1:9" ht="31.5">
      <c r="A41" s="816">
        <v>26</v>
      </c>
      <c r="B41" s="817" t="s">
        <v>1333</v>
      </c>
      <c r="C41" s="818"/>
      <c r="D41" s="816"/>
      <c r="E41" s="816"/>
      <c r="F41" s="178"/>
      <c r="G41" s="178">
        <f>ROUND(G40,0)</f>
        <v>630190</v>
      </c>
      <c r="H41" s="816"/>
      <c r="I41" s="178">
        <f>ROUND(I40,0)</f>
        <v>686600</v>
      </c>
    </row>
    <row r="42" spans="1:9" ht="15">
      <c r="A42" s="84"/>
      <c r="B42" s="7"/>
      <c r="C42" s="722"/>
      <c r="D42" s="7"/>
      <c r="E42" s="7"/>
      <c r="F42" s="7"/>
      <c r="G42" s="7"/>
      <c r="H42" s="7"/>
      <c r="I42" s="7"/>
    </row>
    <row r="43" spans="1:9" ht="15">
      <c r="A43" s="819"/>
      <c r="B43" s="1300" t="s">
        <v>766</v>
      </c>
      <c r="C43" s="1300"/>
      <c r="D43" s="820"/>
      <c r="E43" s="820"/>
      <c r="F43" s="820"/>
      <c r="G43" s="820"/>
      <c r="H43" s="820"/>
      <c r="I43" s="820"/>
    </row>
    <row r="44" spans="1:12" ht="15" customHeight="1">
      <c r="A44" s="819"/>
      <c r="L44" s="5"/>
    </row>
    <row r="45" spans="2:3" ht="15">
      <c r="B45" s="5"/>
      <c r="C45" s="5"/>
    </row>
    <row r="60" spans="2:3" ht="15.75">
      <c r="B60" s="1145" t="s">
        <v>549</v>
      </c>
      <c r="C60" s="1145"/>
    </row>
    <row r="62" spans="2:4" ht="15">
      <c r="B62" s="690" t="s">
        <v>854</v>
      </c>
      <c r="C62" s="804">
        <v>7130820155</v>
      </c>
      <c r="D62" s="686" t="s">
        <v>452</v>
      </c>
    </row>
  </sheetData>
  <sheetProtection/>
  <mergeCells count="15">
    <mergeCell ref="C1:F1"/>
    <mergeCell ref="B3:G3"/>
    <mergeCell ref="A6:A7"/>
    <mergeCell ref="B6:B7"/>
    <mergeCell ref="C6:C7"/>
    <mergeCell ref="D6:D7"/>
    <mergeCell ref="E6:E7"/>
    <mergeCell ref="B60:C60"/>
    <mergeCell ref="H6:I6"/>
    <mergeCell ref="A18:A21"/>
    <mergeCell ref="A22:A23"/>
    <mergeCell ref="F6:G6"/>
    <mergeCell ref="K14:L14"/>
    <mergeCell ref="A29:A32"/>
    <mergeCell ref="B43:C43"/>
  </mergeCells>
  <conditionalFormatting sqref="B33:B34">
    <cfRule type="cellIs" priority="1" dxfId="0" operator="equal" stopIfTrue="1">
      <formula>"?"</formula>
    </cfRule>
  </conditionalFormatting>
  <printOptions horizontalCentered="1"/>
  <pageMargins left="0.89" right="0.25" top="0.6" bottom="0.4" header="0.36" footer="0.27"/>
  <pageSetup fitToHeight="2" horizontalDpi="600" verticalDpi="600" orientation="landscape" paperSize="9" scale="97" r:id="rId1"/>
  <rowBreaks count="2" manualBreakCount="2">
    <brk id="24" max="11" man="1"/>
    <brk id="50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M49"/>
  <sheetViews>
    <sheetView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4.421875" style="36" customWidth="1"/>
    <col min="2" max="2" width="47.140625" style="1" customWidth="1"/>
    <col min="3" max="3" width="13.421875" style="36" customWidth="1"/>
    <col min="4" max="4" width="5.8515625" style="1" bestFit="1" customWidth="1"/>
    <col min="5" max="5" width="7.00390625" style="1" bestFit="1" customWidth="1"/>
    <col min="6" max="6" width="9.57421875" style="1" bestFit="1" customWidth="1"/>
    <col min="7" max="7" width="12.00390625" style="1" bestFit="1" customWidth="1"/>
    <col min="8" max="8" width="11.28125" style="1" customWidth="1"/>
    <col min="9" max="9" width="10.00390625" style="1" customWidth="1"/>
    <col min="10" max="10" width="8.7109375" style="1" customWidth="1"/>
    <col min="11" max="11" width="24.00390625" style="1" bestFit="1" customWidth="1"/>
    <col min="12" max="12" width="10.00390625" style="1" customWidth="1"/>
    <col min="13" max="16384" width="9.140625" style="1" customWidth="1"/>
  </cols>
  <sheetData>
    <row r="1" spans="1:7" ht="18">
      <c r="A1" s="10"/>
      <c r="B1" s="1214" t="s">
        <v>767</v>
      </c>
      <c r="C1" s="1214"/>
      <c r="D1" s="1214"/>
      <c r="E1" s="8"/>
      <c r="F1" s="8"/>
      <c r="G1" s="440"/>
    </row>
    <row r="2" spans="1:7" ht="9" customHeight="1">
      <c r="A2" s="10"/>
      <c r="B2" s="821"/>
      <c r="C2" s="821"/>
      <c r="D2" s="821"/>
      <c r="E2" s="8"/>
      <c r="F2" s="8"/>
      <c r="G2" s="440"/>
    </row>
    <row r="3" spans="2:7" ht="37.5" customHeight="1">
      <c r="B3" s="1302" t="s">
        <v>768</v>
      </c>
      <c r="C3" s="1302"/>
      <c r="D3" s="1302"/>
      <c r="E3" s="1302"/>
      <c r="F3" s="1302"/>
      <c r="G3" s="822"/>
    </row>
    <row r="4" spans="1:7" ht="12.75" customHeight="1">
      <c r="A4" s="823"/>
      <c r="B4" s="823"/>
      <c r="C4" s="823"/>
      <c r="D4" s="823"/>
      <c r="E4" s="823"/>
      <c r="F4" s="823"/>
      <c r="G4" s="823"/>
    </row>
    <row r="5" spans="1:7" ht="15.75">
      <c r="A5" s="441"/>
      <c r="B5" s="441"/>
      <c r="C5" s="442"/>
      <c r="D5" s="441"/>
      <c r="E5" s="443"/>
      <c r="F5" s="441"/>
      <c r="G5" s="1070" t="s">
        <v>551</v>
      </c>
    </row>
    <row r="6" spans="1:7" ht="35.25" customHeight="1">
      <c r="A6" s="1231" t="s">
        <v>1335</v>
      </c>
      <c r="B6" s="1192" t="s">
        <v>449</v>
      </c>
      <c r="C6" s="1193" t="s">
        <v>53</v>
      </c>
      <c r="D6" s="1195" t="s">
        <v>450</v>
      </c>
      <c r="E6" s="1303" t="s">
        <v>769</v>
      </c>
      <c r="F6" s="1304"/>
      <c r="G6" s="1305"/>
    </row>
    <row r="7" spans="1:7" ht="15">
      <c r="A7" s="1232"/>
      <c r="B7" s="1192"/>
      <c r="C7" s="1194"/>
      <c r="D7" s="1195"/>
      <c r="E7" s="824" t="s">
        <v>451</v>
      </c>
      <c r="F7" s="445" t="s">
        <v>799</v>
      </c>
      <c r="G7" s="445" t="s">
        <v>7</v>
      </c>
    </row>
    <row r="8" spans="1:7" ht="15">
      <c r="A8" s="446">
        <v>1</v>
      </c>
      <c r="B8" s="446">
        <v>2</v>
      </c>
      <c r="C8" s="446">
        <v>3</v>
      </c>
      <c r="D8" s="446">
        <v>4</v>
      </c>
      <c r="E8" s="446">
        <v>5</v>
      </c>
      <c r="F8" s="446">
        <v>6</v>
      </c>
      <c r="G8" s="446">
        <v>7</v>
      </c>
    </row>
    <row r="9" spans="1:11" ht="28.5">
      <c r="A9" s="449">
        <v>1</v>
      </c>
      <c r="B9" s="825" t="s">
        <v>770</v>
      </c>
      <c r="C9" s="451">
        <v>7130601958</v>
      </c>
      <c r="D9" s="452" t="s">
        <v>1369</v>
      </c>
      <c r="E9" s="452">
        <v>482.3</v>
      </c>
      <c r="F9" s="453">
        <f>VLOOKUP(C9,'SOR RATE'!A:D,4,0)/1000</f>
        <v>44.989</v>
      </c>
      <c r="G9" s="453">
        <f>F9*E9</f>
        <v>21698.1947</v>
      </c>
      <c r="I9" s="1118"/>
      <c r="J9" s="826"/>
      <c r="K9" s="827"/>
    </row>
    <row r="10" spans="1:12" ht="28.5">
      <c r="A10" s="449">
        <v>2</v>
      </c>
      <c r="B10" s="825" t="s">
        <v>1367</v>
      </c>
      <c r="C10" s="451">
        <v>7130810495</v>
      </c>
      <c r="D10" s="452" t="s">
        <v>452</v>
      </c>
      <c r="E10" s="452">
        <v>1</v>
      </c>
      <c r="F10" s="453">
        <f>VLOOKUP(C10,'SOR RATE'!A:D,4,0)</f>
        <v>1048</v>
      </c>
      <c r="G10" s="453">
        <f aca="true" t="shared" si="0" ref="G10:G15">F10*E10</f>
        <v>1048</v>
      </c>
      <c r="I10" s="69"/>
      <c r="J10" s="718"/>
      <c r="K10" s="717"/>
      <c r="L10" s="828"/>
    </row>
    <row r="11" spans="1:7" ht="14.25">
      <c r="A11" s="1181">
        <v>3</v>
      </c>
      <c r="B11" s="825" t="s">
        <v>1361</v>
      </c>
      <c r="C11" s="456"/>
      <c r="D11" s="457"/>
      <c r="E11" s="457"/>
      <c r="F11" s="457"/>
      <c r="G11" s="458"/>
    </row>
    <row r="12" spans="1:12" ht="14.25">
      <c r="A12" s="1182"/>
      <c r="B12" s="829" t="s">
        <v>1158</v>
      </c>
      <c r="C12" s="460">
        <v>7130810692</v>
      </c>
      <c r="D12" s="461" t="s">
        <v>452</v>
      </c>
      <c r="E12" s="452">
        <v>1</v>
      </c>
      <c r="F12" s="453">
        <f>VLOOKUP(C12,'SOR RATE'!A:D,4,0)</f>
        <v>294</v>
      </c>
      <c r="G12" s="453">
        <f>F12*E12</f>
        <v>294</v>
      </c>
      <c r="I12" s="65"/>
      <c r="J12" s="65"/>
      <c r="K12" s="65"/>
      <c r="L12" s="65"/>
    </row>
    <row r="13" spans="1:13" ht="16.5" customHeight="1">
      <c r="A13" s="452">
        <v>4</v>
      </c>
      <c r="B13" s="462" t="s">
        <v>1503</v>
      </c>
      <c r="C13" s="451">
        <v>7130810679</v>
      </c>
      <c r="D13" s="452" t="s">
        <v>452</v>
      </c>
      <c r="E13" s="452">
        <v>1</v>
      </c>
      <c r="F13" s="453">
        <f>VLOOKUP(C13,'SOR RATE'!A:D,4,0)</f>
        <v>294</v>
      </c>
      <c r="G13" s="453">
        <f t="shared" si="0"/>
        <v>294</v>
      </c>
      <c r="I13" s="97"/>
      <c r="J13" s="826"/>
      <c r="K13" s="830"/>
      <c r="L13" s="719"/>
      <c r="M13" s="65"/>
    </row>
    <row r="14" spans="1:7" ht="18" customHeight="1">
      <c r="A14" s="452">
        <v>5</v>
      </c>
      <c r="B14" s="454" t="s">
        <v>1363</v>
      </c>
      <c r="C14" s="451">
        <v>7130870013</v>
      </c>
      <c r="D14" s="452" t="s">
        <v>452</v>
      </c>
      <c r="E14" s="452">
        <v>1</v>
      </c>
      <c r="F14" s="453">
        <f>VLOOKUP(C14,'SOR RATE'!A:D,4,0)</f>
        <v>100</v>
      </c>
      <c r="G14" s="453">
        <f t="shared" si="0"/>
        <v>100</v>
      </c>
    </row>
    <row r="15" spans="1:11" ht="14.25">
      <c r="A15" s="449">
        <v>6</v>
      </c>
      <c r="B15" s="467" t="s">
        <v>1545</v>
      </c>
      <c r="C15" s="451">
        <v>7130820008</v>
      </c>
      <c r="D15" s="452" t="s">
        <v>452</v>
      </c>
      <c r="E15" s="452">
        <v>3</v>
      </c>
      <c r="F15" s="453">
        <f>VLOOKUP(C15,'SOR RATE'!A:D,4,0)</f>
        <v>157</v>
      </c>
      <c r="G15" s="453">
        <f t="shared" si="0"/>
        <v>471</v>
      </c>
      <c r="J15" s="1069" t="s">
        <v>902</v>
      </c>
      <c r="K15" s="448"/>
    </row>
    <row r="16" spans="1:13" ht="44.25" customHeight="1">
      <c r="A16" s="1185">
        <v>7</v>
      </c>
      <c r="B16" s="450" t="s">
        <v>1159</v>
      </c>
      <c r="C16" s="451"/>
      <c r="D16" s="464" t="s">
        <v>1160</v>
      </c>
      <c r="E16" s="444">
        <v>0.65</v>
      </c>
      <c r="F16" s="453"/>
      <c r="G16" s="453"/>
      <c r="K16" s="465"/>
      <c r="L16" s="465"/>
      <c r="M16" s="63"/>
    </row>
    <row r="17" spans="1:12" ht="14.25">
      <c r="A17" s="1187"/>
      <c r="B17" s="467" t="s">
        <v>1346</v>
      </c>
      <c r="C17" s="451">
        <v>7130200401</v>
      </c>
      <c r="D17" s="452" t="s">
        <v>458</v>
      </c>
      <c r="E17" s="452">
        <f>208*0.65</f>
        <v>135.20000000000002</v>
      </c>
      <c r="F17" s="453">
        <f>VLOOKUP(C17,'SOR RATE'!A:D,4,0)/50</f>
        <v>5.36</v>
      </c>
      <c r="G17" s="453">
        <f>F17*E17</f>
        <v>724.6720000000001</v>
      </c>
      <c r="J17" s="51"/>
      <c r="K17" s="51"/>
      <c r="L17" s="51"/>
    </row>
    <row r="18" spans="1:13" ht="14.25">
      <c r="A18" s="449">
        <v>8</v>
      </c>
      <c r="B18" s="139" t="s">
        <v>308</v>
      </c>
      <c r="C18" s="140">
        <v>7130610206</v>
      </c>
      <c r="D18" s="136" t="s">
        <v>458</v>
      </c>
      <c r="E18" s="452">
        <v>1</v>
      </c>
      <c r="F18" s="453">
        <f>VLOOKUP(C18,'SOR RATE'!A:D,4,0)/1000</f>
        <v>66.528</v>
      </c>
      <c r="G18" s="453">
        <f>F18*E18</f>
        <v>66.528</v>
      </c>
      <c r="H18" s="106"/>
      <c r="I18" s="64"/>
      <c r="J18" s="64"/>
      <c r="K18" s="64"/>
      <c r="L18" s="63"/>
      <c r="M18" s="63"/>
    </row>
    <row r="19" spans="1:12" ht="14.25">
      <c r="A19" s="449">
        <v>9</v>
      </c>
      <c r="B19" s="467" t="s">
        <v>1342</v>
      </c>
      <c r="C19" s="451">
        <v>7130880041</v>
      </c>
      <c r="D19" s="452" t="s">
        <v>1553</v>
      </c>
      <c r="E19" s="452">
        <v>1</v>
      </c>
      <c r="F19" s="453">
        <f>VLOOKUP(C19,'SOR RATE'!A:D,4,0)</f>
        <v>74</v>
      </c>
      <c r="G19" s="453">
        <f>F19*E19</f>
        <v>74</v>
      </c>
      <c r="J19" s="51"/>
      <c r="L19" s="51"/>
    </row>
    <row r="20" spans="1:12" ht="14.25">
      <c r="A20" s="1185">
        <v>10</v>
      </c>
      <c r="B20" s="467" t="s">
        <v>310</v>
      </c>
      <c r="C20" s="456"/>
      <c r="D20" s="457"/>
      <c r="E20" s="457"/>
      <c r="F20" s="457"/>
      <c r="G20" s="458"/>
      <c r="J20" s="51"/>
      <c r="K20" s="51"/>
      <c r="L20" s="51"/>
    </row>
    <row r="21" spans="1:12" ht="14.25">
      <c r="A21" s="1186"/>
      <c r="B21" s="468" t="s">
        <v>438</v>
      </c>
      <c r="C21" s="451">
        <v>7130620609</v>
      </c>
      <c r="D21" s="136" t="s">
        <v>458</v>
      </c>
      <c r="E21" s="452">
        <f>0.5/2</f>
        <v>0.25</v>
      </c>
      <c r="F21" s="453">
        <f>VLOOKUP(C21,'SOR RATE'!A:D,4,0)</f>
        <v>64</v>
      </c>
      <c r="G21" s="453">
        <f>F21*E21</f>
        <v>16</v>
      </c>
      <c r="J21" s="51"/>
      <c r="K21" s="51"/>
      <c r="L21" s="51"/>
    </row>
    <row r="22" spans="1:12" ht="14.25">
      <c r="A22" s="1186"/>
      <c r="B22" s="468" t="s">
        <v>1336</v>
      </c>
      <c r="C22" s="451">
        <v>7130620614</v>
      </c>
      <c r="D22" s="136" t="s">
        <v>458</v>
      </c>
      <c r="E22" s="452">
        <f>6/10</f>
        <v>0.6</v>
      </c>
      <c r="F22" s="453">
        <f>VLOOKUP(C22,'SOR RATE'!A:D,4,0)</f>
        <v>63</v>
      </c>
      <c r="G22" s="453">
        <f>F22*E22</f>
        <v>37.8</v>
      </c>
      <c r="J22" s="51"/>
      <c r="K22" s="51"/>
      <c r="L22" s="831"/>
    </row>
    <row r="23" spans="1:13" ht="14.25">
      <c r="A23" s="1187"/>
      <c r="B23" s="468" t="s">
        <v>1338</v>
      </c>
      <c r="C23" s="451">
        <v>7130620625</v>
      </c>
      <c r="D23" s="136" t="s">
        <v>458</v>
      </c>
      <c r="E23" s="452">
        <f>5.5/10</f>
        <v>0.55</v>
      </c>
      <c r="F23" s="453">
        <f>VLOOKUP(C23,'SOR RATE'!A:D,4,0)</f>
        <v>62</v>
      </c>
      <c r="G23" s="453">
        <f>F23*E23</f>
        <v>34.1</v>
      </c>
      <c r="J23" s="51"/>
      <c r="K23" s="51"/>
      <c r="L23" s="51"/>
      <c r="M23" s="51"/>
    </row>
    <row r="24" spans="1:12" ht="15">
      <c r="A24" s="469">
        <v>11</v>
      </c>
      <c r="B24" s="147" t="s">
        <v>1576</v>
      </c>
      <c r="C24" s="832"/>
      <c r="D24" s="445"/>
      <c r="E24" s="445"/>
      <c r="F24" s="445"/>
      <c r="G24" s="471">
        <f>SUM(G9:G23)</f>
        <v>24858.294699999995</v>
      </c>
      <c r="H24" s="103"/>
      <c r="I24" s="98"/>
      <c r="J24" s="51"/>
      <c r="K24" s="51"/>
      <c r="L24" s="51"/>
    </row>
    <row r="25" spans="1:12" ht="18" customHeight="1">
      <c r="A25" s="141" t="s">
        <v>1184</v>
      </c>
      <c r="B25" s="139" t="s">
        <v>1575</v>
      </c>
      <c r="C25" s="456"/>
      <c r="D25" s="457"/>
      <c r="E25" s="457"/>
      <c r="F25" s="451">
        <v>0.09</v>
      </c>
      <c r="G25" s="453">
        <f>G24*F25</f>
        <v>2237.2465229999993</v>
      </c>
      <c r="H25" s="103"/>
      <c r="I25" s="99"/>
      <c r="J25" s="49"/>
      <c r="K25" s="50"/>
      <c r="L25" s="465"/>
    </row>
    <row r="26" spans="1:7" ht="19.5" customHeight="1">
      <c r="A26" s="464">
        <v>13</v>
      </c>
      <c r="B26" s="459" t="s">
        <v>1372</v>
      </c>
      <c r="C26" s="460"/>
      <c r="D26" s="464" t="s">
        <v>1160</v>
      </c>
      <c r="E26" s="464">
        <f>E16</f>
        <v>0.65</v>
      </c>
      <c r="F26" s="473">
        <f>1664*1.27*1.0891*1.086275*1.1112*1.0685</f>
        <v>2968.460981603261</v>
      </c>
      <c r="G26" s="473">
        <f>F26*E26</f>
        <v>1929.4996380421198</v>
      </c>
    </row>
    <row r="27" spans="1:7" ht="28.5">
      <c r="A27" s="449">
        <v>14</v>
      </c>
      <c r="B27" s="825" t="s">
        <v>771</v>
      </c>
      <c r="C27" s="451"/>
      <c r="D27" s="452"/>
      <c r="E27" s="452"/>
      <c r="F27" s="452"/>
      <c r="G27" s="1092">
        <f>1451.51*1.086275*1.1112*1.0685</f>
        <v>1872.0893645905594</v>
      </c>
    </row>
    <row r="28" spans="1:7" ht="44.25" customHeight="1">
      <c r="A28" s="478">
        <v>15</v>
      </c>
      <c r="B28" s="450" t="s">
        <v>1206</v>
      </c>
      <c r="C28" s="460"/>
      <c r="D28" s="464"/>
      <c r="E28" s="464"/>
      <c r="F28" s="473"/>
      <c r="G28" s="473">
        <f>1.1*1.1*4108*0.05*1.2*1.1*1.1797*1.1402*0.9368</f>
        <v>413.38930723149025</v>
      </c>
    </row>
    <row r="29" spans="1:8" ht="15">
      <c r="A29" s="833">
        <v>16</v>
      </c>
      <c r="B29" s="147" t="s">
        <v>1577</v>
      </c>
      <c r="C29" s="460"/>
      <c r="D29" s="464"/>
      <c r="E29" s="464"/>
      <c r="F29" s="473"/>
      <c r="G29" s="481">
        <f>G24+G25+G26+G27+G28</f>
        <v>31310.519532864164</v>
      </c>
      <c r="H29" s="104"/>
    </row>
    <row r="30" spans="1:8" ht="28.5">
      <c r="A30" s="478">
        <v>17</v>
      </c>
      <c r="B30" s="139" t="s">
        <v>1578</v>
      </c>
      <c r="C30" s="460"/>
      <c r="D30" s="464"/>
      <c r="E30" s="464"/>
      <c r="F30" s="473">
        <v>0.11</v>
      </c>
      <c r="G30" s="473">
        <f>G24*F30</f>
        <v>2734.4124169999996</v>
      </c>
      <c r="H30" s="104"/>
    </row>
    <row r="31" spans="1:7" ht="14.25">
      <c r="A31" s="478">
        <v>18</v>
      </c>
      <c r="B31" s="450" t="s">
        <v>1207</v>
      </c>
      <c r="C31" s="460"/>
      <c r="D31" s="464"/>
      <c r="E31" s="464"/>
      <c r="F31" s="473"/>
      <c r="G31" s="473">
        <f>G29+G30</f>
        <v>34044.93194986416</v>
      </c>
    </row>
    <row r="32" spans="1:7" ht="20.25" customHeight="1">
      <c r="A32" s="834">
        <v>19</v>
      </c>
      <c r="B32" s="835" t="s">
        <v>1491</v>
      </c>
      <c r="C32" s="836"/>
      <c r="D32" s="444"/>
      <c r="E32" s="444"/>
      <c r="F32" s="481"/>
      <c r="G32" s="1093">
        <f>ROUND(G31,0)</f>
        <v>34045</v>
      </c>
    </row>
    <row r="33" spans="1:7" ht="15.75">
      <c r="A33" s="837"/>
      <c r="B33" s="838"/>
      <c r="C33" s="837"/>
      <c r="D33" s="839"/>
      <c r="E33" s="839"/>
      <c r="F33" s="839"/>
      <c r="G33" s="840"/>
    </row>
    <row r="34" spans="1:7" ht="15.75">
      <c r="A34" s="840"/>
      <c r="B34" s="841"/>
      <c r="C34" s="842"/>
      <c r="D34" s="841"/>
      <c r="E34" s="843"/>
      <c r="F34" s="841"/>
      <c r="G34" s="841"/>
    </row>
    <row r="47" spans="2:3" ht="15.75">
      <c r="B47" s="1145" t="s">
        <v>549</v>
      </c>
      <c r="C47" s="1145"/>
    </row>
    <row r="49" spans="2:4" ht="14.25">
      <c r="B49" s="467" t="s">
        <v>1504</v>
      </c>
      <c r="C49" s="451">
        <v>7130820155</v>
      </c>
      <c r="D49" s="452" t="s">
        <v>452</v>
      </c>
    </row>
  </sheetData>
  <sheetProtection/>
  <mergeCells count="11">
    <mergeCell ref="A11:A12"/>
    <mergeCell ref="A16:A17"/>
    <mergeCell ref="A20:A23"/>
    <mergeCell ref="B47:C47"/>
    <mergeCell ref="B1:D1"/>
    <mergeCell ref="B3:F3"/>
    <mergeCell ref="A6:A7"/>
    <mergeCell ref="B6:B7"/>
    <mergeCell ref="C6:C7"/>
    <mergeCell ref="D6:D7"/>
    <mergeCell ref="E6:G6"/>
  </mergeCells>
  <conditionalFormatting sqref="B24:B25 A25">
    <cfRule type="cellIs" priority="1" dxfId="0" operator="equal" stopIfTrue="1">
      <formula>"?"</formula>
    </cfRule>
  </conditionalFormatting>
  <printOptions/>
  <pageMargins left="0.91" right="0.15" top="0.91" bottom="0.28" header="0.64" footer="0.15"/>
  <pageSetup horizontalDpi="600" verticalDpi="600" orientation="portrait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T96"/>
  <sheetViews>
    <sheetView zoomScale="85" zoomScaleNormal="8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.8515625" style="36" customWidth="1"/>
    <col min="2" max="2" width="52.7109375" style="1" customWidth="1"/>
    <col min="3" max="3" width="16.421875" style="1" hidden="1" customWidth="1"/>
    <col min="4" max="4" width="14.8515625" style="1" customWidth="1"/>
    <col min="5" max="5" width="6.00390625" style="1" customWidth="1"/>
    <col min="6" max="6" width="12.57421875" style="1" bestFit="1" customWidth="1"/>
    <col min="7" max="7" width="8.8515625" style="1" customWidth="1"/>
    <col min="8" max="8" width="13.8515625" style="1" bestFit="1" customWidth="1"/>
    <col min="9" max="9" width="9.28125" style="1" customWidth="1"/>
    <col min="10" max="10" width="14.140625" style="1" customWidth="1"/>
    <col min="11" max="11" width="8.7109375" style="1" customWidth="1"/>
    <col min="12" max="12" width="16.00390625" style="1" customWidth="1"/>
    <col min="13" max="13" width="17.57421875" style="1" customWidth="1"/>
    <col min="14" max="14" width="24.7109375" style="1" customWidth="1"/>
    <col min="15" max="15" width="14.140625" style="1" customWidth="1"/>
    <col min="16" max="16" width="4.7109375" style="1" bestFit="1" customWidth="1"/>
    <col min="17" max="17" width="2.57421875" style="1" bestFit="1" customWidth="1"/>
    <col min="18" max="18" width="5.140625" style="1" bestFit="1" customWidth="1"/>
    <col min="19" max="16384" width="9.140625" style="1" customWidth="1"/>
  </cols>
  <sheetData>
    <row r="1" spans="2:12" ht="18">
      <c r="B1" s="57"/>
      <c r="C1" s="57"/>
      <c r="D1" s="1153" t="s">
        <v>1208</v>
      </c>
      <c r="E1" s="1153"/>
      <c r="F1" s="1153"/>
      <c r="G1" s="1153"/>
      <c r="H1" s="1153"/>
      <c r="I1" s="57"/>
      <c r="J1" s="57"/>
      <c r="K1" s="57"/>
      <c r="L1" s="57"/>
    </row>
    <row r="2" spans="1:12" ht="14.25">
      <c r="A2" s="418"/>
      <c r="B2" s="418"/>
      <c r="C2" s="844"/>
      <c r="D2" s="419"/>
      <c r="E2" s="418"/>
      <c r="F2" s="418"/>
      <c r="G2" s="418"/>
      <c r="H2" s="418"/>
      <c r="I2" s="418"/>
      <c r="J2" s="418"/>
      <c r="K2" s="418"/>
      <c r="L2" s="418"/>
    </row>
    <row r="3" spans="1:12" ht="15.75">
      <c r="A3" s="1243" t="s">
        <v>1209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</row>
    <row r="4" spans="1:12" ht="14.25">
      <c r="A4" s="1311"/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</row>
    <row r="5" spans="1:12" ht="15.75">
      <c r="A5" s="352"/>
      <c r="B5" s="352"/>
      <c r="C5" s="845"/>
      <c r="D5" s="803"/>
      <c r="E5" s="352"/>
      <c r="F5" s="352"/>
      <c r="G5" s="352"/>
      <c r="H5" s="352"/>
      <c r="I5" s="352"/>
      <c r="J5" s="352"/>
      <c r="K5" s="352"/>
      <c r="L5" s="112" t="s">
        <v>551</v>
      </c>
    </row>
    <row r="6" spans="1:12" ht="15.75">
      <c r="A6" s="352"/>
      <c r="B6" s="352"/>
      <c r="C6" s="845"/>
      <c r="D6" s="803"/>
      <c r="E6" s="352"/>
      <c r="F6" s="352"/>
      <c r="G6" s="352"/>
      <c r="H6" s="352"/>
      <c r="I6" s="352"/>
      <c r="J6" s="352"/>
      <c r="K6" s="352"/>
      <c r="L6" s="34"/>
    </row>
    <row r="7" spans="1:12" ht="15.75">
      <c r="A7" s="1262" t="s">
        <v>1335</v>
      </c>
      <c r="B7" s="1262" t="s">
        <v>449</v>
      </c>
      <c r="C7" s="1263" t="s">
        <v>147</v>
      </c>
      <c r="D7" s="1263" t="s">
        <v>53</v>
      </c>
      <c r="E7" s="1262" t="s">
        <v>450</v>
      </c>
      <c r="F7" s="1291" t="s">
        <v>799</v>
      </c>
      <c r="G7" s="1262" t="s">
        <v>148</v>
      </c>
      <c r="H7" s="1262"/>
      <c r="I7" s="1262" t="s">
        <v>149</v>
      </c>
      <c r="J7" s="1262"/>
      <c r="K7" s="1262" t="s">
        <v>150</v>
      </c>
      <c r="L7" s="1262"/>
    </row>
    <row r="8" spans="1:12" ht="15.75">
      <c r="A8" s="1262"/>
      <c r="B8" s="1262"/>
      <c r="C8" s="1263"/>
      <c r="D8" s="1263"/>
      <c r="E8" s="1262"/>
      <c r="F8" s="1292"/>
      <c r="G8" s="17" t="s">
        <v>1315</v>
      </c>
      <c r="H8" s="17" t="s">
        <v>7</v>
      </c>
      <c r="I8" s="17" t="s">
        <v>1315</v>
      </c>
      <c r="J8" s="17" t="s">
        <v>7</v>
      </c>
      <c r="K8" s="17" t="s">
        <v>1315</v>
      </c>
      <c r="L8" s="17" t="s">
        <v>7</v>
      </c>
    </row>
    <row r="9" spans="1:12" ht="15.75">
      <c r="A9" s="17">
        <v>1</v>
      </c>
      <c r="B9" s="17">
        <v>2</v>
      </c>
      <c r="C9" s="17">
        <v>3</v>
      </c>
      <c r="D9" s="799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</row>
    <row r="10" spans="1:16" ht="18.75" customHeight="1">
      <c r="A10" s="128">
        <v>1</v>
      </c>
      <c r="B10" s="127" t="s">
        <v>936</v>
      </c>
      <c r="C10" s="846"/>
      <c r="D10" s="804">
        <v>7132210009</v>
      </c>
      <c r="E10" s="686" t="s">
        <v>1553</v>
      </c>
      <c r="F10" s="696">
        <f>VLOOKUP(D10,'SOR RATE'!A:D,4,0)</f>
        <v>88254</v>
      </c>
      <c r="G10" s="128">
        <v>1</v>
      </c>
      <c r="H10" s="696">
        <f>G10*F10</f>
        <v>88254</v>
      </c>
      <c r="I10" s="128"/>
      <c r="J10" s="128"/>
      <c r="K10" s="128"/>
      <c r="L10" s="128"/>
      <c r="M10" s="101"/>
      <c r="N10" s="97" t="s">
        <v>1276</v>
      </c>
      <c r="O10" s="97"/>
      <c r="P10" s="97"/>
    </row>
    <row r="11" spans="1:13" ht="18.75" customHeight="1">
      <c r="A11" s="128">
        <v>2</v>
      </c>
      <c r="B11" s="127" t="s">
        <v>151</v>
      </c>
      <c r="C11" s="846"/>
      <c r="D11" s="804">
        <v>7132210010</v>
      </c>
      <c r="E11" s="686" t="s">
        <v>1553</v>
      </c>
      <c r="F11" s="696">
        <f>VLOOKUP(D11,'SOR RATE'!A:D,4,0)</f>
        <v>119054</v>
      </c>
      <c r="G11" s="128"/>
      <c r="H11" s="696"/>
      <c r="I11" s="128">
        <v>1</v>
      </c>
      <c r="J11" s="696">
        <f>I11*F11</f>
        <v>119054</v>
      </c>
      <c r="K11" s="128"/>
      <c r="L11" s="128"/>
      <c r="M11" s="7"/>
    </row>
    <row r="12" spans="1:13" ht="18.75" customHeight="1">
      <c r="A12" s="128">
        <v>3</v>
      </c>
      <c r="B12" s="127" t="s">
        <v>152</v>
      </c>
      <c r="C12" s="846"/>
      <c r="D12" s="804">
        <v>7132210011</v>
      </c>
      <c r="E12" s="686" t="s">
        <v>1553</v>
      </c>
      <c r="F12" s="696">
        <f>VLOOKUP(D12,'SOR RATE'!A:D,4,0)</f>
        <v>220748</v>
      </c>
      <c r="G12" s="128"/>
      <c r="H12" s="696"/>
      <c r="I12" s="128"/>
      <c r="J12" s="696"/>
      <c r="K12" s="128">
        <v>1</v>
      </c>
      <c r="L12" s="696">
        <f>K12*F12</f>
        <v>220748</v>
      </c>
      <c r="M12" s="7"/>
    </row>
    <row r="13" spans="1:12" ht="30">
      <c r="A13" s="114">
        <v>4</v>
      </c>
      <c r="B13" s="126" t="s">
        <v>153</v>
      </c>
      <c r="C13" s="846"/>
      <c r="D13" s="804">
        <v>7130600675</v>
      </c>
      <c r="E13" s="686" t="s">
        <v>458</v>
      </c>
      <c r="F13" s="696">
        <f>VLOOKUP(D13,'SOR RATE'!A:D,4,0)/1000</f>
        <v>44.989</v>
      </c>
      <c r="G13" s="114"/>
      <c r="H13" s="3"/>
      <c r="I13" s="114">
        <v>857.8</v>
      </c>
      <c r="J13" s="3">
        <f aca="true" t="shared" si="0" ref="J13:J22">I13*F13</f>
        <v>38591.56419999999</v>
      </c>
      <c r="K13" s="114">
        <f>+I13</f>
        <v>857.8</v>
      </c>
      <c r="L13" s="3">
        <f aca="true" t="shared" si="1" ref="L13:L22">K13*F13</f>
        <v>38591.56419999999</v>
      </c>
    </row>
    <row r="14" spans="1:12" ht="15">
      <c r="A14" s="1308">
        <v>5</v>
      </c>
      <c r="B14" s="127" t="s">
        <v>303</v>
      </c>
      <c r="C14" s="848" t="s">
        <v>154</v>
      </c>
      <c r="D14" s="708">
        <v>7130860032</v>
      </c>
      <c r="E14" s="128" t="s">
        <v>452</v>
      </c>
      <c r="F14" s="696">
        <f>VLOOKUP(D14,'SOR RATE'!A:D,4,0)</f>
        <v>387</v>
      </c>
      <c r="G14" s="128"/>
      <c r="H14" s="696"/>
      <c r="I14" s="128">
        <v>4</v>
      </c>
      <c r="J14" s="696">
        <f t="shared" si="0"/>
        <v>1548</v>
      </c>
      <c r="K14" s="128">
        <v>4</v>
      </c>
      <c r="L14" s="696">
        <f t="shared" si="1"/>
        <v>1548</v>
      </c>
    </row>
    <row r="15" spans="1:12" ht="15">
      <c r="A15" s="1309"/>
      <c r="B15" s="807" t="s">
        <v>304</v>
      </c>
      <c r="C15" s="848" t="s">
        <v>155</v>
      </c>
      <c r="D15" s="708">
        <v>7130860077</v>
      </c>
      <c r="E15" s="128" t="s">
        <v>458</v>
      </c>
      <c r="F15" s="696">
        <f>VLOOKUP(D15,'SOR RATE'!A:D,4,0)/1000</f>
        <v>61.6</v>
      </c>
      <c r="G15" s="128"/>
      <c r="H15" s="696"/>
      <c r="I15" s="128">
        <v>22</v>
      </c>
      <c r="J15" s="696">
        <f t="shared" si="0"/>
        <v>1355.2</v>
      </c>
      <c r="K15" s="128">
        <v>22</v>
      </c>
      <c r="L15" s="696">
        <f t="shared" si="1"/>
        <v>1355.2</v>
      </c>
    </row>
    <row r="16" spans="1:18" ht="15">
      <c r="A16" s="1310"/>
      <c r="B16" s="805" t="s">
        <v>1169</v>
      </c>
      <c r="C16" s="849" t="s">
        <v>156</v>
      </c>
      <c r="D16" s="708">
        <v>7130810216</v>
      </c>
      <c r="E16" s="128" t="s">
        <v>803</v>
      </c>
      <c r="F16" s="696">
        <f>VLOOKUP(D16,'SOR RATE'!A:D,4,0)</f>
        <v>282</v>
      </c>
      <c r="G16" s="128"/>
      <c r="H16" s="696"/>
      <c r="I16" s="128">
        <v>4</v>
      </c>
      <c r="J16" s="696">
        <f t="shared" si="0"/>
        <v>1128</v>
      </c>
      <c r="K16" s="128">
        <v>4</v>
      </c>
      <c r="L16" s="696">
        <f t="shared" si="1"/>
        <v>1128</v>
      </c>
      <c r="N16" s="805"/>
      <c r="O16" s="7"/>
      <c r="P16" s="7"/>
      <c r="Q16" s="7"/>
      <c r="R16" s="7"/>
    </row>
    <row r="17" spans="1:12" ht="49.5" customHeight="1">
      <c r="A17" s="1308">
        <v>6</v>
      </c>
      <c r="B17" s="126" t="s">
        <v>157</v>
      </c>
      <c r="C17" s="850"/>
      <c r="D17" s="708"/>
      <c r="E17" s="128" t="s">
        <v>454</v>
      </c>
      <c r="F17" s="128"/>
      <c r="G17" s="128"/>
      <c r="H17" s="696"/>
      <c r="I17" s="128">
        <v>1.5</v>
      </c>
      <c r="J17" s="696"/>
      <c r="K17" s="128">
        <f>+I17</f>
        <v>1.5</v>
      </c>
      <c r="L17" s="696"/>
    </row>
    <row r="18" spans="1:12" ht="15">
      <c r="A18" s="1310"/>
      <c r="B18" s="851" t="s">
        <v>1346</v>
      </c>
      <c r="C18" s="852" t="s">
        <v>158</v>
      </c>
      <c r="D18" s="708">
        <v>7130200401</v>
      </c>
      <c r="E18" s="128" t="s">
        <v>458</v>
      </c>
      <c r="F18" s="696">
        <f>VLOOKUP(D18,'SOR RATE'!A:D,4,0)/50</f>
        <v>5.36</v>
      </c>
      <c r="G18" s="128"/>
      <c r="H18" s="696"/>
      <c r="I18" s="128">
        <v>312</v>
      </c>
      <c r="J18" s="696">
        <f t="shared" si="0"/>
        <v>1672.3200000000002</v>
      </c>
      <c r="K18" s="128">
        <f>+I18</f>
        <v>312</v>
      </c>
      <c r="L18" s="696">
        <f t="shared" si="1"/>
        <v>1672.3200000000002</v>
      </c>
    </row>
    <row r="19" spans="1:12" ht="30">
      <c r="A19" s="128">
        <v>7</v>
      </c>
      <c r="B19" s="126" t="s">
        <v>1052</v>
      </c>
      <c r="C19" s="849" t="s">
        <v>159</v>
      </c>
      <c r="D19" s="708">
        <v>7130870013</v>
      </c>
      <c r="E19" s="128" t="s">
        <v>452</v>
      </c>
      <c r="F19" s="696">
        <f>VLOOKUP(D19,'SOR RATE'!A:D,4,0)</f>
        <v>100</v>
      </c>
      <c r="G19" s="128"/>
      <c r="H19" s="696"/>
      <c r="I19" s="128">
        <v>1</v>
      </c>
      <c r="J19" s="696">
        <f t="shared" si="0"/>
        <v>100</v>
      </c>
      <c r="K19" s="128">
        <v>1</v>
      </c>
      <c r="L19" s="696">
        <f t="shared" si="1"/>
        <v>100</v>
      </c>
    </row>
    <row r="20" spans="1:12" ht="15">
      <c r="A20" s="128">
        <v>8</v>
      </c>
      <c r="B20" s="807" t="s">
        <v>455</v>
      </c>
      <c r="C20" s="849" t="s">
        <v>160</v>
      </c>
      <c r="D20" s="708">
        <v>7130211158</v>
      </c>
      <c r="E20" s="128" t="s">
        <v>456</v>
      </c>
      <c r="F20" s="696">
        <f>VLOOKUP(D20,'SOR RATE'!A:D,4,0)</f>
        <v>130</v>
      </c>
      <c r="G20" s="128"/>
      <c r="H20" s="696"/>
      <c r="I20" s="128">
        <v>1</v>
      </c>
      <c r="J20" s="696">
        <f t="shared" si="0"/>
        <v>130</v>
      </c>
      <c r="K20" s="128">
        <v>1</v>
      </c>
      <c r="L20" s="696">
        <f t="shared" si="1"/>
        <v>130</v>
      </c>
    </row>
    <row r="21" spans="1:12" ht="15">
      <c r="A21" s="128">
        <v>9</v>
      </c>
      <c r="B21" s="807" t="s">
        <v>457</v>
      </c>
      <c r="C21" s="849" t="s">
        <v>161</v>
      </c>
      <c r="D21" s="708">
        <v>7130210809</v>
      </c>
      <c r="E21" s="128" t="s">
        <v>456</v>
      </c>
      <c r="F21" s="696">
        <f>VLOOKUP(D21,'SOR RATE'!A:D,4,0)</f>
        <v>290</v>
      </c>
      <c r="G21" s="128"/>
      <c r="H21" s="696"/>
      <c r="I21" s="128">
        <v>1</v>
      </c>
      <c r="J21" s="696">
        <f t="shared" si="0"/>
        <v>290</v>
      </c>
      <c r="K21" s="128">
        <v>1</v>
      </c>
      <c r="L21" s="696">
        <f t="shared" si="1"/>
        <v>290</v>
      </c>
    </row>
    <row r="22" spans="1:16" ht="15">
      <c r="A22" s="128">
        <v>10</v>
      </c>
      <c r="B22" s="119" t="s">
        <v>308</v>
      </c>
      <c r="C22" s="848" t="s">
        <v>162</v>
      </c>
      <c r="D22" s="12">
        <v>7130610206</v>
      </c>
      <c r="E22" s="128" t="s">
        <v>458</v>
      </c>
      <c r="F22" s="696">
        <f>VLOOKUP(D22,'SOR RATE'!A:D,4,0)/1000</f>
        <v>66.528</v>
      </c>
      <c r="G22" s="128"/>
      <c r="H22" s="696"/>
      <c r="I22" s="128">
        <v>2</v>
      </c>
      <c r="J22" s="696">
        <f t="shared" si="0"/>
        <v>133.056</v>
      </c>
      <c r="K22" s="128">
        <v>2</v>
      </c>
      <c r="L22" s="696">
        <f t="shared" si="1"/>
        <v>133.056</v>
      </c>
      <c r="M22" s="1115"/>
      <c r="N22" s="64"/>
      <c r="O22" s="64"/>
      <c r="P22" s="64"/>
    </row>
    <row r="23" spans="1:12" ht="15">
      <c r="A23" s="1308">
        <v>11</v>
      </c>
      <c r="B23" s="127" t="s">
        <v>1359</v>
      </c>
      <c r="C23" s="848"/>
      <c r="D23" s="708"/>
      <c r="E23" s="128" t="s">
        <v>458</v>
      </c>
      <c r="F23" s="696"/>
      <c r="G23" s="128">
        <v>14</v>
      </c>
      <c r="H23" s="696"/>
      <c r="I23" s="128">
        <v>14</v>
      </c>
      <c r="J23" s="696"/>
      <c r="K23" s="128">
        <v>14</v>
      </c>
      <c r="L23" s="696"/>
    </row>
    <row r="24" spans="1:12" ht="18" customHeight="1">
      <c r="A24" s="1309"/>
      <c r="B24" s="117" t="s">
        <v>438</v>
      </c>
      <c r="C24" s="853" t="s">
        <v>163</v>
      </c>
      <c r="D24" s="708">
        <v>7130620609</v>
      </c>
      <c r="E24" s="128" t="s">
        <v>458</v>
      </c>
      <c r="F24" s="696">
        <f>VLOOKUP(D24,'SOR RATE'!A:D,4,0)</f>
        <v>64</v>
      </c>
      <c r="G24" s="128">
        <v>1</v>
      </c>
      <c r="H24" s="696">
        <f>G24*F24</f>
        <v>64</v>
      </c>
      <c r="I24" s="128">
        <v>1</v>
      </c>
      <c r="J24" s="696">
        <f>I24*F24</f>
        <v>64</v>
      </c>
      <c r="K24" s="128">
        <v>1</v>
      </c>
      <c r="L24" s="696">
        <f aca="true" t="shared" si="2" ref="L24:L30">K24*F24</f>
        <v>64</v>
      </c>
    </row>
    <row r="25" spans="1:12" ht="17.25" customHeight="1">
      <c r="A25" s="1309"/>
      <c r="B25" s="117" t="s">
        <v>1336</v>
      </c>
      <c r="C25" s="853" t="s">
        <v>164</v>
      </c>
      <c r="D25" s="708">
        <v>7130620614</v>
      </c>
      <c r="E25" s="128" t="s">
        <v>458</v>
      </c>
      <c r="F25" s="696">
        <f>VLOOKUP(D25,'SOR RATE'!A:D,4,0)</f>
        <v>63</v>
      </c>
      <c r="G25" s="128">
        <v>4</v>
      </c>
      <c r="H25" s="696">
        <f>G25*F25</f>
        <v>252</v>
      </c>
      <c r="I25" s="128">
        <v>4</v>
      </c>
      <c r="J25" s="696">
        <f>I25*F25</f>
        <v>252</v>
      </c>
      <c r="K25" s="128">
        <v>4</v>
      </c>
      <c r="L25" s="696">
        <f t="shared" si="2"/>
        <v>252</v>
      </c>
    </row>
    <row r="26" spans="1:12" ht="15" customHeight="1">
      <c r="A26" s="1309"/>
      <c r="B26" s="117" t="s">
        <v>1338</v>
      </c>
      <c r="C26" s="853" t="s">
        <v>165</v>
      </c>
      <c r="D26" s="708">
        <v>7130620625</v>
      </c>
      <c r="E26" s="128" t="s">
        <v>458</v>
      </c>
      <c r="F26" s="696">
        <f>VLOOKUP(D26,'SOR RATE'!A:D,4,0)</f>
        <v>62</v>
      </c>
      <c r="G26" s="128">
        <v>4</v>
      </c>
      <c r="H26" s="696">
        <f>G26*F26</f>
        <v>248</v>
      </c>
      <c r="I26" s="128">
        <v>4</v>
      </c>
      <c r="J26" s="696">
        <f>I26*F26</f>
        <v>248</v>
      </c>
      <c r="K26" s="128">
        <v>4</v>
      </c>
      <c r="L26" s="696">
        <f t="shared" si="2"/>
        <v>248</v>
      </c>
    </row>
    <row r="27" spans="1:12" ht="18.75" customHeight="1">
      <c r="A27" s="1310"/>
      <c r="B27" s="117" t="s">
        <v>1345</v>
      </c>
      <c r="C27" s="853" t="s">
        <v>166</v>
      </c>
      <c r="D27" s="708">
        <v>7130620631</v>
      </c>
      <c r="E27" s="128" t="s">
        <v>458</v>
      </c>
      <c r="F27" s="696">
        <f>VLOOKUP(D27,'SOR RATE'!A:D,4,0)</f>
        <v>62</v>
      </c>
      <c r="G27" s="128">
        <v>5</v>
      </c>
      <c r="H27" s="696">
        <f>G27*F27</f>
        <v>310</v>
      </c>
      <c r="I27" s="128">
        <v>5</v>
      </c>
      <c r="J27" s="696">
        <f>I27*F27</f>
        <v>310</v>
      </c>
      <c r="K27" s="128">
        <v>5</v>
      </c>
      <c r="L27" s="696">
        <f t="shared" si="2"/>
        <v>310</v>
      </c>
    </row>
    <row r="28" spans="1:12" ht="33.75" customHeight="1">
      <c r="A28" s="114">
        <v>12</v>
      </c>
      <c r="B28" s="126" t="s">
        <v>1279</v>
      </c>
      <c r="C28" s="854"/>
      <c r="D28" s="708">
        <v>7130310007</v>
      </c>
      <c r="E28" s="114" t="s">
        <v>1368</v>
      </c>
      <c r="F28" s="696">
        <f>VLOOKUP(D28,'SOR RATE'!A:D,4,0)/1000</f>
        <v>73.88</v>
      </c>
      <c r="G28" s="128">
        <v>120</v>
      </c>
      <c r="H28" s="696">
        <f>G28*F28</f>
        <v>8865.599999999999</v>
      </c>
      <c r="I28" s="128">
        <v>120</v>
      </c>
      <c r="J28" s="696">
        <f>I28*F28</f>
        <v>8865.599999999999</v>
      </c>
      <c r="K28" s="128">
        <v>120</v>
      </c>
      <c r="L28" s="696">
        <f t="shared" si="2"/>
        <v>8865.599999999999</v>
      </c>
    </row>
    <row r="29" spans="1:15" ht="35.25" customHeight="1">
      <c r="A29" s="114">
        <v>13</v>
      </c>
      <c r="B29" s="126" t="s">
        <v>1280</v>
      </c>
      <c r="C29" s="854"/>
      <c r="D29" s="708">
        <v>7130310041</v>
      </c>
      <c r="E29" s="114" t="s">
        <v>1368</v>
      </c>
      <c r="F29" s="696">
        <f>VLOOKUP(D29,'SOR RATE'!A:D,4,0)/1000</f>
        <v>101.834</v>
      </c>
      <c r="G29" s="128"/>
      <c r="H29" s="696"/>
      <c r="I29" s="128"/>
      <c r="J29" s="696"/>
      <c r="K29" s="128">
        <v>40</v>
      </c>
      <c r="L29" s="696">
        <f t="shared" si="2"/>
        <v>4073.36</v>
      </c>
      <c r="O29" s="7"/>
    </row>
    <row r="30" spans="1:12" ht="17.25" customHeight="1">
      <c r="A30" s="128">
        <v>14</v>
      </c>
      <c r="B30" s="851" t="s">
        <v>1391</v>
      </c>
      <c r="C30" s="854"/>
      <c r="D30" s="708">
        <v>7131930221</v>
      </c>
      <c r="E30" s="128" t="s">
        <v>1553</v>
      </c>
      <c r="F30" s="696">
        <f>VLOOKUP(D30,'SOR RATE'!A:D,4,0)</f>
        <v>7750</v>
      </c>
      <c r="G30" s="128"/>
      <c r="H30" s="696"/>
      <c r="I30" s="128"/>
      <c r="J30" s="696"/>
      <c r="K30" s="128">
        <v>1</v>
      </c>
      <c r="L30" s="696">
        <f t="shared" si="2"/>
        <v>7750</v>
      </c>
    </row>
    <row r="31" spans="1:12" ht="52.5" customHeight="1">
      <c r="A31" s="128">
        <v>15</v>
      </c>
      <c r="B31" s="126" t="s">
        <v>191</v>
      </c>
      <c r="C31" s="855"/>
      <c r="D31" s="706"/>
      <c r="E31" s="707"/>
      <c r="F31" s="707"/>
      <c r="G31" s="707"/>
      <c r="H31" s="707"/>
      <c r="I31" s="707"/>
      <c r="J31" s="707"/>
      <c r="K31" s="707"/>
      <c r="L31" s="856"/>
    </row>
    <row r="32" spans="1:12" ht="15">
      <c r="A32" s="128" t="s">
        <v>442</v>
      </c>
      <c r="B32" s="127" t="s">
        <v>1388</v>
      </c>
      <c r="C32" s="848" t="s">
        <v>1281</v>
      </c>
      <c r="D32" s="708">
        <v>7131950065</v>
      </c>
      <c r="E32" s="128" t="s">
        <v>452</v>
      </c>
      <c r="F32" s="696">
        <f>VLOOKUP(D32,'SOR RATE'!A:D,4,0)</f>
        <v>13758</v>
      </c>
      <c r="G32" s="128">
        <v>1</v>
      </c>
      <c r="H32" s="696">
        <f>G32*F32</f>
        <v>13758</v>
      </c>
      <c r="I32" s="128"/>
      <c r="J32" s="696"/>
      <c r="K32" s="128"/>
      <c r="L32" s="696"/>
    </row>
    <row r="33" spans="1:12" ht="15">
      <c r="A33" s="128" t="s">
        <v>460</v>
      </c>
      <c r="B33" s="127" t="s">
        <v>1389</v>
      </c>
      <c r="C33" s="848" t="s">
        <v>1282</v>
      </c>
      <c r="D33" s="708">
        <v>7131950105</v>
      </c>
      <c r="E33" s="128" t="s">
        <v>452</v>
      </c>
      <c r="F33" s="696">
        <f>VLOOKUP(D33,'SOR RATE'!A:D,4,0)</f>
        <v>17198</v>
      </c>
      <c r="G33" s="128"/>
      <c r="H33" s="696"/>
      <c r="I33" s="128">
        <v>1</v>
      </c>
      <c r="J33" s="696">
        <f>I33*F33</f>
        <v>17198</v>
      </c>
      <c r="K33" s="128"/>
      <c r="L33" s="696"/>
    </row>
    <row r="34" spans="1:12" ht="15">
      <c r="A34" s="128" t="s">
        <v>131</v>
      </c>
      <c r="B34" s="127" t="s">
        <v>1390</v>
      </c>
      <c r="C34" s="848" t="s">
        <v>1283</v>
      </c>
      <c r="D34" s="708">
        <v>7131950200</v>
      </c>
      <c r="E34" s="128" t="s">
        <v>452</v>
      </c>
      <c r="F34" s="696">
        <f>VLOOKUP(D34,'SOR RATE'!A:D,4,0)</f>
        <v>34396</v>
      </c>
      <c r="G34" s="128"/>
      <c r="H34" s="696"/>
      <c r="I34" s="696"/>
      <c r="J34" s="696"/>
      <c r="K34" s="128">
        <v>1</v>
      </c>
      <c r="L34" s="696">
        <f>K34*F34</f>
        <v>34396</v>
      </c>
    </row>
    <row r="35" spans="1:14" ht="15.75">
      <c r="A35" s="17">
        <v>16</v>
      </c>
      <c r="B35" s="125" t="s">
        <v>1576</v>
      </c>
      <c r="C35" s="848"/>
      <c r="D35" s="708"/>
      <c r="E35" s="128"/>
      <c r="F35" s="128"/>
      <c r="G35" s="128"/>
      <c r="H35" s="130">
        <f>SUM(H10:H34)</f>
        <v>111751.6</v>
      </c>
      <c r="I35" s="130"/>
      <c r="J35" s="130">
        <f>SUM(J10:J34)</f>
        <v>190939.74020000003</v>
      </c>
      <c r="K35" s="130"/>
      <c r="L35" s="130">
        <f>SUM(L10:L34)</f>
        <v>321655.1001999999</v>
      </c>
      <c r="M35" s="101"/>
      <c r="N35" s="7"/>
    </row>
    <row r="36" spans="1:14" ht="18" customHeight="1">
      <c r="A36" s="131">
        <v>17</v>
      </c>
      <c r="B36" s="119" t="s">
        <v>1575</v>
      </c>
      <c r="C36" s="849"/>
      <c r="D36" s="706"/>
      <c r="E36" s="707"/>
      <c r="F36" s="696">
        <v>0.09</v>
      </c>
      <c r="G36" s="709"/>
      <c r="H36" s="696">
        <f>H35*F36</f>
        <v>10057.644</v>
      </c>
      <c r="I36" s="696"/>
      <c r="J36" s="696">
        <f>J35*F36</f>
        <v>17184.576618000003</v>
      </c>
      <c r="K36" s="696"/>
      <c r="L36" s="696">
        <f>L35*F36</f>
        <v>28948.959017999994</v>
      </c>
      <c r="M36" s="101"/>
      <c r="N36" s="97"/>
    </row>
    <row r="37" spans="1:15" ht="19.5" customHeight="1">
      <c r="A37" s="114">
        <v>18</v>
      </c>
      <c r="B37" s="127" t="s">
        <v>1284</v>
      </c>
      <c r="C37" s="848"/>
      <c r="D37" s="857"/>
      <c r="E37" s="128"/>
      <c r="F37" s="128"/>
      <c r="G37" s="114"/>
      <c r="H37" s="3">
        <v>13047.31</v>
      </c>
      <c r="I37" s="3"/>
      <c r="J37" s="3">
        <v>14885.48</v>
      </c>
      <c r="K37" s="3"/>
      <c r="L37" s="3">
        <v>16558.16</v>
      </c>
      <c r="M37" s="35"/>
      <c r="N37" s="69"/>
      <c r="O37" s="342"/>
    </row>
    <row r="38" spans="1:20" s="254" customFormat="1" ht="21" customHeight="1">
      <c r="A38" s="114">
        <v>19</v>
      </c>
      <c r="B38" s="127" t="s">
        <v>1588</v>
      </c>
      <c r="C38" s="177"/>
      <c r="D38" s="114"/>
      <c r="E38" s="114"/>
      <c r="F38" s="114"/>
      <c r="G38" s="114"/>
      <c r="H38" s="3">
        <f>4452.4*1.1402*0.9368</f>
        <v>4755.783686463999</v>
      </c>
      <c r="I38" s="114"/>
      <c r="J38" s="3">
        <f>4929.12*1.1402*0.9368</f>
        <v>5264.9870821632</v>
      </c>
      <c r="K38" s="114"/>
      <c r="L38" s="3">
        <f>4929.12*1.1402*0.9368</f>
        <v>5264.9870821632</v>
      </c>
      <c r="M38" s="858"/>
      <c r="N38" s="859"/>
      <c r="O38" s="859"/>
      <c r="P38" s="859"/>
      <c r="Q38" s="859"/>
      <c r="R38" s="859"/>
      <c r="S38" s="859"/>
      <c r="T38" s="859"/>
    </row>
    <row r="39" spans="1:20" s="254" customFormat="1" ht="16.5">
      <c r="A39" s="58">
        <v>20</v>
      </c>
      <c r="B39" s="125" t="s">
        <v>1577</v>
      </c>
      <c r="C39" s="177"/>
      <c r="D39" s="860"/>
      <c r="E39" s="861"/>
      <c r="F39" s="861"/>
      <c r="G39" s="861"/>
      <c r="H39" s="4">
        <f>H35+H36+H37+H38</f>
        <v>139612.33768646402</v>
      </c>
      <c r="I39" s="4"/>
      <c r="J39" s="4">
        <f>J35+J36+J37+J38</f>
        <v>228274.78390016322</v>
      </c>
      <c r="K39" s="4"/>
      <c r="L39" s="4">
        <f>L35+L36+L37+L38</f>
        <v>372427.2063001631</v>
      </c>
      <c r="M39" s="102"/>
      <c r="N39" s="862"/>
      <c r="O39" s="862"/>
      <c r="P39" s="862"/>
      <c r="Q39" s="862"/>
      <c r="R39" s="862"/>
      <c r="S39" s="862"/>
      <c r="T39" s="862"/>
    </row>
    <row r="40" spans="1:20" s="254" customFormat="1" ht="53.25" customHeight="1">
      <c r="A40" s="131">
        <v>21</v>
      </c>
      <c r="B40" s="119" t="s">
        <v>1578</v>
      </c>
      <c r="C40" s="177"/>
      <c r="D40" s="860"/>
      <c r="E40" s="861"/>
      <c r="F40" s="114">
        <v>0.11</v>
      </c>
      <c r="G40" s="861"/>
      <c r="H40" s="3">
        <f>H35*F40</f>
        <v>12292.676000000001</v>
      </c>
      <c r="I40" s="114"/>
      <c r="J40" s="3">
        <f>J35*F40</f>
        <v>21003.371422000004</v>
      </c>
      <c r="K40" s="114"/>
      <c r="L40" s="3">
        <f>L35*F40</f>
        <v>35382.061021999994</v>
      </c>
      <c r="M40" s="102"/>
      <c r="N40" s="862"/>
      <c r="O40" s="862"/>
      <c r="P40" s="862"/>
      <c r="Q40" s="862"/>
      <c r="R40" s="862"/>
      <c r="S40" s="862"/>
      <c r="T40" s="862"/>
    </row>
    <row r="41" spans="1:20" s="254" customFormat="1" ht="16.5">
      <c r="A41" s="58">
        <v>22</v>
      </c>
      <c r="B41" s="125" t="s">
        <v>1285</v>
      </c>
      <c r="C41" s="177"/>
      <c r="D41" s="860"/>
      <c r="E41" s="861"/>
      <c r="F41" s="861"/>
      <c r="G41" s="861"/>
      <c r="H41" s="4">
        <f>H39+H40</f>
        <v>151905.01368646402</v>
      </c>
      <c r="I41" s="15"/>
      <c r="J41" s="4">
        <f>J39+J40</f>
        <v>249278.15532216322</v>
      </c>
      <c r="K41" s="15"/>
      <c r="L41" s="4">
        <f>L39+L40</f>
        <v>407809.2673221631</v>
      </c>
      <c r="M41" s="102"/>
      <c r="N41" s="862"/>
      <c r="O41" s="862"/>
      <c r="P41" s="862"/>
      <c r="Q41" s="862"/>
      <c r="R41" s="862"/>
      <c r="S41" s="862"/>
      <c r="T41" s="862"/>
    </row>
    <row r="42" spans="1:12" ht="48.75" customHeight="1">
      <c r="A42" s="1293">
        <v>23</v>
      </c>
      <c r="B42" s="127" t="s">
        <v>331</v>
      </c>
      <c r="C42" s="129"/>
      <c r="D42" s="122"/>
      <c r="E42" s="123"/>
      <c r="F42" s="123"/>
      <c r="G42" s="123"/>
      <c r="H42" s="123"/>
      <c r="I42" s="123"/>
      <c r="J42" s="123"/>
      <c r="K42" s="123"/>
      <c r="L42" s="124"/>
    </row>
    <row r="43" spans="1:12" ht="15">
      <c r="A43" s="1306"/>
      <c r="B43" s="127" t="s">
        <v>332</v>
      </c>
      <c r="C43" s="129"/>
      <c r="D43" s="12"/>
      <c r="E43" s="114" t="s">
        <v>452</v>
      </c>
      <c r="F43" s="114"/>
      <c r="G43" s="114">
        <v>1</v>
      </c>
      <c r="H43" s="3">
        <v>21600</v>
      </c>
      <c r="I43" s="3"/>
      <c r="J43" s="3"/>
      <c r="K43" s="3"/>
      <c r="L43" s="3"/>
    </row>
    <row r="44" spans="1:14" ht="15">
      <c r="A44" s="1306"/>
      <c r="B44" s="127" t="s">
        <v>333</v>
      </c>
      <c r="C44" s="129"/>
      <c r="D44" s="12"/>
      <c r="E44" s="114" t="s">
        <v>452</v>
      </c>
      <c r="F44" s="114"/>
      <c r="G44" s="114"/>
      <c r="H44" s="3"/>
      <c r="I44" s="120">
        <v>1</v>
      </c>
      <c r="J44" s="3">
        <v>37150</v>
      </c>
      <c r="K44" s="120"/>
      <c r="L44" s="3"/>
      <c r="N44" s="270"/>
    </row>
    <row r="45" spans="1:12" ht="15">
      <c r="A45" s="1294"/>
      <c r="B45" s="127" t="s">
        <v>334</v>
      </c>
      <c r="C45" s="129"/>
      <c r="D45" s="12"/>
      <c r="E45" s="114" t="s">
        <v>452</v>
      </c>
      <c r="F45" s="114"/>
      <c r="G45" s="114"/>
      <c r="H45" s="3"/>
      <c r="I45" s="120"/>
      <c r="J45" s="120"/>
      <c r="K45" s="120">
        <v>1</v>
      </c>
      <c r="L45" s="3">
        <v>48000</v>
      </c>
    </row>
    <row r="46" spans="1:12" ht="19.5" customHeight="1">
      <c r="A46" s="128">
        <v>24</v>
      </c>
      <c r="B46" s="127" t="s">
        <v>905</v>
      </c>
      <c r="C46" s="129"/>
      <c r="D46" s="12"/>
      <c r="E46" s="114"/>
      <c r="F46" s="128"/>
      <c r="G46" s="128"/>
      <c r="H46" s="3">
        <f>0.1*H43</f>
        <v>2160</v>
      </c>
      <c r="I46" s="3"/>
      <c r="J46" s="3">
        <f>0.1*J44</f>
        <v>3715</v>
      </c>
      <c r="K46" s="3"/>
      <c r="L46" s="3">
        <f>0.1*L45</f>
        <v>4800</v>
      </c>
    </row>
    <row r="47" spans="1:12" ht="18" customHeight="1">
      <c r="A47" s="128">
        <v>25</v>
      </c>
      <c r="B47" s="127" t="s">
        <v>906</v>
      </c>
      <c r="C47" s="129"/>
      <c r="D47" s="12"/>
      <c r="E47" s="114"/>
      <c r="F47" s="128"/>
      <c r="G47" s="128"/>
      <c r="H47" s="696">
        <f>(H43-H46)*0.04*10</f>
        <v>7776</v>
      </c>
      <c r="I47" s="696"/>
      <c r="J47" s="696">
        <f>(J44-J46)*0.04*10</f>
        <v>13374</v>
      </c>
      <c r="K47" s="128"/>
      <c r="L47" s="696">
        <f>(L45-L46)*0.04*10</f>
        <v>17280</v>
      </c>
    </row>
    <row r="48" spans="1:12" ht="34.5" customHeight="1">
      <c r="A48" s="128">
        <v>26</v>
      </c>
      <c r="B48" s="127" t="s">
        <v>907</v>
      </c>
      <c r="C48" s="129"/>
      <c r="D48" s="12"/>
      <c r="E48" s="114"/>
      <c r="F48" s="128"/>
      <c r="G48" s="128"/>
      <c r="H48" s="696">
        <f>H43-H47</f>
        <v>13824</v>
      </c>
      <c r="I48" s="696"/>
      <c r="J48" s="696">
        <f>J44-J47</f>
        <v>23776</v>
      </c>
      <c r="K48" s="128"/>
      <c r="L48" s="696">
        <f>L45-L47</f>
        <v>30720</v>
      </c>
    </row>
    <row r="49" spans="1:12" ht="33.75" customHeight="1">
      <c r="A49" s="128">
        <v>27</v>
      </c>
      <c r="B49" s="127" t="s">
        <v>908</v>
      </c>
      <c r="C49" s="129"/>
      <c r="D49" s="12"/>
      <c r="E49" s="114"/>
      <c r="F49" s="128"/>
      <c r="G49" s="128"/>
      <c r="H49" s="696">
        <f>H48</f>
        <v>13824</v>
      </c>
      <c r="I49" s="696"/>
      <c r="J49" s="696">
        <f>J48</f>
        <v>23776</v>
      </c>
      <c r="K49" s="128"/>
      <c r="L49" s="696">
        <f>L48</f>
        <v>30720</v>
      </c>
    </row>
    <row r="50" spans="1:12" ht="19.5" customHeight="1">
      <c r="A50" s="128">
        <v>28</v>
      </c>
      <c r="B50" s="127" t="s">
        <v>463</v>
      </c>
      <c r="C50" s="129"/>
      <c r="D50" s="12"/>
      <c r="E50" s="114"/>
      <c r="F50" s="128"/>
      <c r="G50" s="128"/>
      <c r="H50" s="696">
        <f>H41-H49</f>
        <v>138081.01368646402</v>
      </c>
      <c r="I50" s="128"/>
      <c r="J50" s="696">
        <f>J41-J49</f>
        <v>225502.15532216322</v>
      </c>
      <c r="K50" s="128"/>
      <c r="L50" s="696">
        <f>L41-L49</f>
        <v>377089.2673221631</v>
      </c>
    </row>
    <row r="51" spans="1:12" ht="22.5" customHeight="1">
      <c r="A51" s="17">
        <v>29</v>
      </c>
      <c r="B51" s="132" t="s">
        <v>464</v>
      </c>
      <c r="C51" s="129"/>
      <c r="D51" s="12"/>
      <c r="E51" s="114"/>
      <c r="F51" s="128"/>
      <c r="G51" s="128"/>
      <c r="H51" s="130">
        <f>ROUND(H50,0)</f>
        <v>138081</v>
      </c>
      <c r="I51" s="130"/>
      <c r="J51" s="130">
        <f>ROUND(J50,0)</f>
        <v>225502</v>
      </c>
      <c r="K51" s="130"/>
      <c r="L51" s="130">
        <f>ROUND(L50,0)</f>
        <v>377089</v>
      </c>
    </row>
    <row r="52" spans="1:12" ht="15.75" customHeight="1">
      <c r="A52" s="34"/>
      <c r="B52" s="39"/>
      <c r="C52" s="863"/>
      <c r="D52" s="47"/>
      <c r="E52" s="42"/>
      <c r="F52" s="864"/>
      <c r="G52" s="864"/>
      <c r="H52" s="865"/>
      <c r="I52" s="865"/>
      <c r="J52" s="865"/>
      <c r="K52" s="865"/>
      <c r="L52" s="865"/>
    </row>
    <row r="53" spans="1:12" ht="15.75">
      <c r="A53" s="10"/>
      <c r="B53" s="1307" t="s">
        <v>462</v>
      </c>
      <c r="C53" s="1307"/>
      <c r="D53" s="1307"/>
      <c r="E53" s="1307"/>
      <c r="F53" s="8"/>
      <c r="G53" s="8"/>
      <c r="H53" s="866"/>
      <c r="I53" s="866"/>
      <c r="J53" s="866"/>
      <c r="K53" s="866"/>
      <c r="L53" s="866"/>
    </row>
    <row r="54" spans="1:12" ht="15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">
      <c r="A55" s="1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">
      <c r="A56" s="1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1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7:12" ht="12.75">
      <c r="G59" s="28"/>
      <c r="H59" s="28"/>
      <c r="I59" s="28"/>
      <c r="J59" s="28"/>
      <c r="K59" s="28"/>
      <c r="L59" s="28"/>
    </row>
    <row r="60" spans="7:12" ht="12.75">
      <c r="G60" s="28"/>
      <c r="H60" s="28"/>
      <c r="I60" s="28"/>
      <c r="J60" s="28"/>
      <c r="K60" s="28"/>
      <c r="L60" s="28"/>
    </row>
    <row r="77" spans="13:15" ht="15">
      <c r="M77" s="84"/>
      <c r="N77" s="84"/>
      <c r="O77" s="84"/>
    </row>
    <row r="78" spans="13:15" ht="15">
      <c r="M78" s="84"/>
      <c r="N78" s="84"/>
      <c r="O78" s="84"/>
    </row>
    <row r="79" spans="13:15" ht="15">
      <c r="M79" s="84"/>
      <c r="N79" s="84"/>
      <c r="O79" s="84"/>
    </row>
    <row r="80" spans="13:15" ht="15">
      <c r="M80" s="84"/>
      <c r="N80" s="84"/>
      <c r="O80" s="84"/>
    </row>
    <row r="81" spans="13:15" ht="15">
      <c r="M81" s="84"/>
      <c r="N81" s="84"/>
      <c r="O81" s="84"/>
    </row>
    <row r="82" spans="13:15" ht="15">
      <c r="M82" s="84"/>
      <c r="N82" s="84"/>
      <c r="O82" s="84"/>
    </row>
    <row r="83" spans="13:15" ht="15">
      <c r="M83" s="84"/>
      <c r="N83" s="84"/>
      <c r="O83" s="84"/>
    </row>
    <row r="84" spans="13:15" ht="15">
      <c r="M84" s="84"/>
      <c r="N84" s="84"/>
      <c r="O84" s="84"/>
    </row>
    <row r="85" spans="13:15" ht="15">
      <c r="M85" s="84"/>
      <c r="N85" s="84"/>
      <c r="O85" s="84"/>
    </row>
    <row r="86" spans="13:15" ht="15">
      <c r="M86" s="84"/>
      <c r="N86" s="84"/>
      <c r="O86" s="84"/>
    </row>
    <row r="87" spans="13:15" ht="15">
      <c r="M87" s="84"/>
      <c r="N87" s="84"/>
      <c r="O87" s="84"/>
    </row>
    <row r="88" spans="13:15" ht="15">
      <c r="M88" s="84"/>
      <c r="N88" s="84"/>
      <c r="O88" s="84"/>
    </row>
    <row r="89" spans="13:15" ht="15">
      <c r="M89" s="84"/>
      <c r="N89" s="84"/>
      <c r="O89" s="84"/>
    </row>
    <row r="90" spans="13:15" ht="15">
      <c r="M90" s="84"/>
      <c r="N90" s="84"/>
      <c r="O90" s="84"/>
    </row>
    <row r="91" spans="13:15" ht="15">
      <c r="M91" s="84"/>
      <c r="N91" s="84"/>
      <c r="O91" s="84"/>
    </row>
    <row r="92" spans="13:15" ht="15.75">
      <c r="M92" s="35"/>
      <c r="N92" s="84"/>
      <c r="O92" s="84"/>
    </row>
    <row r="93" spans="13:15" ht="15.75">
      <c r="M93" s="84"/>
      <c r="N93" s="35"/>
      <c r="O93" s="35"/>
    </row>
    <row r="96" ht="15.75">
      <c r="O96" s="35"/>
    </row>
  </sheetData>
  <sheetProtection/>
  <mergeCells count="17">
    <mergeCell ref="D1:H1"/>
    <mergeCell ref="A3:L3"/>
    <mergeCell ref="A4:L4"/>
    <mergeCell ref="A7:A8"/>
    <mergeCell ref="B7:B8"/>
    <mergeCell ref="C7:C8"/>
    <mergeCell ref="D7:D8"/>
    <mergeCell ref="E7:E8"/>
    <mergeCell ref="A42:A45"/>
    <mergeCell ref="B53:E53"/>
    <mergeCell ref="I7:J7"/>
    <mergeCell ref="K7:L7"/>
    <mergeCell ref="A14:A16"/>
    <mergeCell ref="A17:A18"/>
    <mergeCell ref="F7:F8"/>
    <mergeCell ref="G7:H7"/>
    <mergeCell ref="A23:A27"/>
  </mergeCells>
  <conditionalFormatting sqref="B35:B36">
    <cfRule type="cellIs" priority="1" dxfId="0" operator="equal" stopIfTrue="1">
      <formula>"?"</formula>
    </cfRule>
  </conditionalFormatting>
  <printOptions horizontalCentered="1"/>
  <pageMargins left="0.75" right="0.16" top="0.68" bottom="0.32" header="0.4" footer="0.16"/>
  <pageSetup fitToHeight="2"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85" zoomScaleNormal="85" zoomScalePageLayoutView="0" workbookViewId="0" topLeftCell="A1">
      <pane xSplit="2" ySplit="8" topLeftCell="C51" activePane="bottomRight" state="frozen"/>
      <selection pane="topLeft" activeCell="L6" sqref="L6"/>
      <selection pane="topRight" activeCell="L6" sqref="L6"/>
      <selection pane="bottomLeft" activeCell="L6" sqref="L6"/>
      <selection pane="bottomRight" activeCell="M8" sqref="M8"/>
    </sheetView>
  </sheetViews>
  <sheetFormatPr defaultColWidth="9.140625" defaultRowHeight="12.75"/>
  <cols>
    <col min="1" max="1" width="5.7109375" style="36" customWidth="1"/>
    <col min="2" max="2" width="76.57421875" style="1" customWidth="1"/>
    <col min="3" max="3" width="16.57421875" style="1" customWidth="1"/>
    <col min="4" max="4" width="6.57421875" style="1" bestFit="1" customWidth="1"/>
    <col min="5" max="5" width="6.140625" style="1" customWidth="1"/>
    <col min="6" max="6" width="11.8515625" style="1" customWidth="1"/>
    <col min="7" max="7" width="13.28125" style="1" customWidth="1"/>
    <col min="8" max="8" width="15.8515625" style="1" customWidth="1"/>
    <col min="9" max="9" width="13.140625" style="1" customWidth="1"/>
    <col min="10" max="10" width="16.421875" style="1" customWidth="1"/>
    <col min="11" max="11" width="10.421875" style="1" customWidth="1"/>
    <col min="12" max="12" width="10.28125" style="1" customWidth="1"/>
    <col min="13" max="13" width="7.7109375" style="1" customWidth="1"/>
    <col min="14" max="14" width="11.8515625" style="1" customWidth="1"/>
    <col min="15" max="16384" width="9.140625" style="1" customWidth="1"/>
  </cols>
  <sheetData>
    <row r="1" spans="2:7" ht="18">
      <c r="B1" s="1153" t="s">
        <v>937</v>
      </c>
      <c r="C1" s="1153"/>
      <c r="D1" s="57"/>
      <c r="E1" s="57"/>
      <c r="F1" s="57"/>
      <c r="G1" s="57"/>
    </row>
    <row r="2" spans="1:6" ht="11.25" customHeight="1">
      <c r="A2" s="673"/>
      <c r="B2" s="44"/>
      <c r="C2" s="722"/>
      <c r="D2" s="723"/>
      <c r="E2" s="673"/>
      <c r="F2" s="7"/>
    </row>
    <row r="3" spans="2:7" ht="15.75">
      <c r="B3" s="1243" t="s">
        <v>465</v>
      </c>
      <c r="C3" s="1243"/>
      <c r="D3" s="1243"/>
      <c r="E3" s="1243"/>
      <c r="F3" s="236"/>
      <c r="G3" s="236"/>
    </row>
    <row r="4" spans="1:7" ht="11.25" customHeight="1">
      <c r="A4" s="35"/>
      <c r="B4" s="35"/>
      <c r="C4" s="35"/>
      <c r="D4" s="35"/>
      <c r="E4" s="35"/>
      <c r="F4" s="35"/>
      <c r="G4" s="35"/>
    </row>
    <row r="5" spans="1:7" ht="15.75">
      <c r="A5" s="35"/>
      <c r="B5" s="35"/>
      <c r="C5" s="35"/>
      <c r="D5" s="35"/>
      <c r="E5" s="35"/>
      <c r="F5" s="35"/>
      <c r="G5" s="112" t="s">
        <v>551</v>
      </c>
    </row>
    <row r="6" spans="1:7" ht="11.25" customHeight="1">
      <c r="A6" s="724"/>
      <c r="B6" s="725"/>
      <c r="C6" s="92"/>
      <c r="D6" s="726"/>
      <c r="E6" s="724"/>
      <c r="F6" s="727"/>
      <c r="G6" s="727"/>
    </row>
    <row r="7" spans="1:7" ht="15.75">
      <c r="A7" s="1291" t="s">
        <v>1335</v>
      </c>
      <c r="B7" s="1297" t="s">
        <v>449</v>
      </c>
      <c r="C7" s="1274" t="s">
        <v>53</v>
      </c>
      <c r="D7" s="1312" t="s">
        <v>450</v>
      </c>
      <c r="E7" s="1260" t="s">
        <v>466</v>
      </c>
      <c r="F7" s="1260"/>
      <c r="G7" s="1260"/>
    </row>
    <row r="8" spans="1:7" ht="15.75">
      <c r="A8" s="1292"/>
      <c r="B8" s="1297"/>
      <c r="C8" s="1275"/>
      <c r="D8" s="1312"/>
      <c r="E8" s="17" t="s">
        <v>1315</v>
      </c>
      <c r="F8" s="17" t="s">
        <v>799</v>
      </c>
      <c r="G8" s="17" t="s">
        <v>800</v>
      </c>
    </row>
    <row r="9" spans="1:7" ht="15.75">
      <c r="A9" s="867">
        <v>1</v>
      </c>
      <c r="B9" s="868">
        <v>2</v>
      </c>
      <c r="C9" s="679">
        <v>3</v>
      </c>
      <c r="D9" s="679">
        <v>4</v>
      </c>
      <c r="E9" s="679">
        <v>5</v>
      </c>
      <c r="F9" s="679">
        <v>6</v>
      </c>
      <c r="G9" s="679">
        <v>7</v>
      </c>
    </row>
    <row r="10" spans="1:8" ht="19.5" customHeight="1">
      <c r="A10" s="686">
        <v>1</v>
      </c>
      <c r="B10" s="173" t="s">
        <v>467</v>
      </c>
      <c r="C10" s="685">
        <v>7132210007</v>
      </c>
      <c r="D10" s="686" t="s">
        <v>452</v>
      </c>
      <c r="E10" s="686">
        <v>1</v>
      </c>
      <c r="F10" s="176">
        <f>VLOOKUP(C10,'SOR RATE'!A:D,4,0)</f>
        <v>44836</v>
      </c>
      <c r="G10" s="176">
        <f aca="true" t="shared" si="0" ref="G10:G20">F10*E10</f>
        <v>44836</v>
      </c>
      <c r="H10" s="805"/>
    </row>
    <row r="11" spans="1:7" ht="20.25" customHeight="1">
      <c r="A11" s="686">
        <v>2</v>
      </c>
      <c r="B11" s="173" t="s">
        <v>468</v>
      </c>
      <c r="C11" s="804">
        <v>7130800012</v>
      </c>
      <c r="D11" s="686" t="s">
        <v>452</v>
      </c>
      <c r="E11" s="686">
        <v>3</v>
      </c>
      <c r="F11" s="176">
        <f>VLOOKUP(C11,'SOR RATE'!A:D,4,0)</f>
        <v>1654</v>
      </c>
      <c r="G11" s="176">
        <f t="shared" si="0"/>
        <v>4962</v>
      </c>
    </row>
    <row r="12" spans="1:13" ht="18.75" customHeight="1">
      <c r="A12" s="686">
        <v>3</v>
      </c>
      <c r="B12" s="173" t="s">
        <v>469</v>
      </c>
      <c r="C12" s="685">
        <v>7130810517</v>
      </c>
      <c r="D12" s="686" t="s">
        <v>452</v>
      </c>
      <c r="E12" s="686">
        <v>1</v>
      </c>
      <c r="F12" s="176">
        <f>VLOOKUP(C12,'SOR RATE'!A:D,4,0)</f>
        <v>4547</v>
      </c>
      <c r="G12" s="176">
        <f t="shared" si="0"/>
        <v>4547</v>
      </c>
      <c r="I12" s="7"/>
      <c r="J12" s="7"/>
      <c r="K12" s="7"/>
      <c r="L12" s="7"/>
      <c r="M12" s="7"/>
    </row>
    <row r="13" spans="1:14" ht="15">
      <c r="A13" s="686">
        <v>4</v>
      </c>
      <c r="B13" s="127" t="s">
        <v>1030</v>
      </c>
      <c r="C13" s="685">
        <v>7130820010</v>
      </c>
      <c r="D13" s="686" t="s">
        <v>452</v>
      </c>
      <c r="E13" s="686">
        <v>3</v>
      </c>
      <c r="F13" s="176">
        <f>VLOOKUP(C13,'SOR RATE'!A:D,4,0)</f>
        <v>140</v>
      </c>
      <c r="G13" s="176">
        <f t="shared" si="0"/>
        <v>420</v>
      </c>
      <c r="I13" s="1072" t="s">
        <v>1031</v>
      </c>
      <c r="J13" s="869"/>
      <c r="K13" s="870"/>
      <c r="L13" s="871"/>
      <c r="M13" s="871"/>
      <c r="N13" s="872"/>
    </row>
    <row r="14" spans="1:14" ht="15">
      <c r="A14" s="686">
        <v>5</v>
      </c>
      <c r="B14" s="173" t="s">
        <v>470</v>
      </c>
      <c r="C14" s="804">
        <v>7130820241</v>
      </c>
      <c r="D14" s="686" t="s">
        <v>802</v>
      </c>
      <c r="E14" s="686">
        <v>3</v>
      </c>
      <c r="F14" s="176">
        <f>VLOOKUP(C14,'SOR RATE'!A:D,4,0)</f>
        <v>123</v>
      </c>
      <c r="G14" s="176">
        <f t="shared" si="0"/>
        <v>369</v>
      </c>
      <c r="J14" s="869"/>
      <c r="K14" s="870"/>
      <c r="L14" s="871"/>
      <c r="M14" s="871"/>
      <c r="N14" s="872"/>
    </row>
    <row r="15" spans="1:10" ht="19.5" customHeight="1">
      <c r="A15" s="175">
        <v>6</v>
      </c>
      <c r="B15" s="692" t="s">
        <v>471</v>
      </c>
      <c r="C15" s="693">
        <v>7130810509</v>
      </c>
      <c r="D15" s="691" t="s">
        <v>452</v>
      </c>
      <c r="E15" s="691">
        <v>1</v>
      </c>
      <c r="F15" s="176">
        <f>VLOOKUP(C15,'SOR RATE'!A205:D205,4,0)</f>
        <v>3322</v>
      </c>
      <c r="G15" s="176">
        <f t="shared" si="0"/>
        <v>3322</v>
      </c>
      <c r="I15" s="93"/>
      <c r="J15" s="873"/>
    </row>
    <row r="16" spans="1:7" ht="15">
      <c r="A16" s="686">
        <v>7</v>
      </c>
      <c r="B16" s="173" t="s">
        <v>188</v>
      </c>
      <c r="C16" s="685">
        <v>7131930412</v>
      </c>
      <c r="D16" s="686" t="s">
        <v>1553</v>
      </c>
      <c r="E16" s="686">
        <v>3</v>
      </c>
      <c r="F16" s="176">
        <f>VLOOKUP(C16,'SOR RATE'!A:D,4,0)</f>
        <v>1199</v>
      </c>
      <c r="G16" s="176">
        <f t="shared" si="0"/>
        <v>3597</v>
      </c>
    </row>
    <row r="17" spans="1:9" ht="17.25" customHeight="1">
      <c r="A17" s="686">
        <v>8</v>
      </c>
      <c r="B17" s="173" t="s">
        <v>901</v>
      </c>
      <c r="C17" s="171">
        <v>7130600023</v>
      </c>
      <c r="D17" s="171" t="s">
        <v>458</v>
      </c>
      <c r="E17" s="686">
        <v>20</v>
      </c>
      <c r="F17" s="176">
        <f>VLOOKUP(C17,'SOR RATE'!A:D,4,0)/1000</f>
        <v>40.214</v>
      </c>
      <c r="G17" s="176">
        <f t="shared" si="0"/>
        <v>804.28</v>
      </c>
      <c r="I17" s="56"/>
    </row>
    <row r="18" spans="1:7" ht="18.75" customHeight="1">
      <c r="A18" s="1254">
        <v>9</v>
      </c>
      <c r="B18" s="127" t="s">
        <v>303</v>
      </c>
      <c r="C18" s="804">
        <v>7130860032</v>
      </c>
      <c r="D18" s="686" t="s">
        <v>452</v>
      </c>
      <c r="E18" s="128">
        <v>4</v>
      </c>
      <c r="F18" s="176">
        <f>VLOOKUP(C18,'SOR RATE'!A:D,4,0)</f>
        <v>387</v>
      </c>
      <c r="G18" s="176">
        <f t="shared" si="0"/>
        <v>1548</v>
      </c>
    </row>
    <row r="19" spans="1:7" ht="15">
      <c r="A19" s="1255"/>
      <c r="B19" s="807" t="s">
        <v>304</v>
      </c>
      <c r="C19" s="804">
        <v>7130860077</v>
      </c>
      <c r="D19" s="686" t="s">
        <v>458</v>
      </c>
      <c r="E19" s="128">
        <v>22</v>
      </c>
      <c r="F19" s="176">
        <f>VLOOKUP(C19,'SOR RATE'!A:D,4,0)/1000</f>
        <v>61.6</v>
      </c>
      <c r="G19" s="176">
        <f t="shared" si="0"/>
        <v>1355.2</v>
      </c>
    </row>
    <row r="20" spans="1:7" ht="15">
      <c r="A20" s="1256"/>
      <c r="B20" s="807" t="s">
        <v>305</v>
      </c>
      <c r="C20" s="804">
        <v>7130810026</v>
      </c>
      <c r="D20" s="686" t="s">
        <v>452</v>
      </c>
      <c r="E20" s="128">
        <v>4</v>
      </c>
      <c r="F20" s="176">
        <f>VLOOKUP(C20,'SOR RATE'!A:D,4,0)</f>
        <v>142</v>
      </c>
      <c r="G20" s="176">
        <f t="shared" si="0"/>
        <v>568</v>
      </c>
    </row>
    <row r="21" spans="1:7" ht="35.25" customHeight="1">
      <c r="A21" s="1254">
        <v>10</v>
      </c>
      <c r="B21" s="127" t="s">
        <v>472</v>
      </c>
      <c r="C21" s="685"/>
      <c r="D21" s="114" t="s">
        <v>454</v>
      </c>
      <c r="E21" s="114">
        <v>1.85</v>
      </c>
      <c r="F21" s="176"/>
      <c r="G21" s="176"/>
    </row>
    <row r="22" spans="1:7" ht="18" customHeight="1">
      <c r="A22" s="1256"/>
      <c r="B22" s="127" t="s">
        <v>307</v>
      </c>
      <c r="C22" s="685">
        <v>7130200401</v>
      </c>
      <c r="D22" s="697" t="s">
        <v>458</v>
      </c>
      <c r="E22" s="686">
        <v>385</v>
      </c>
      <c r="F22" s="176">
        <f>VLOOKUP(C22,'SOR RATE'!A:D,4,0)/50</f>
        <v>5.36</v>
      </c>
      <c r="G22" s="176">
        <f>F22*E22</f>
        <v>2063.6</v>
      </c>
    </row>
    <row r="23" spans="1:11" ht="21.75" customHeight="1">
      <c r="A23" s="686">
        <v>11</v>
      </c>
      <c r="B23" s="698" t="s">
        <v>473</v>
      </c>
      <c r="C23" s="685">
        <v>7130600023</v>
      </c>
      <c r="D23" s="697" t="s">
        <v>458</v>
      </c>
      <c r="E23" s="686">
        <v>34</v>
      </c>
      <c r="F23" s="176">
        <f>VLOOKUP(C23,'SOR RATE'!A:D,4,0)/1000</f>
        <v>40.214</v>
      </c>
      <c r="G23" s="176">
        <f>F23*E23</f>
        <v>1367.2759999999998</v>
      </c>
      <c r="I23" s="56"/>
      <c r="J23" s="874"/>
      <c r="K23" s="65"/>
    </row>
    <row r="24" spans="1:7" ht="19.5" customHeight="1">
      <c r="A24" s="686">
        <v>12</v>
      </c>
      <c r="B24" s="173" t="s">
        <v>1377</v>
      </c>
      <c r="C24" s="711">
        <v>7130850201</v>
      </c>
      <c r="D24" s="171" t="s">
        <v>802</v>
      </c>
      <c r="E24" s="686">
        <v>1</v>
      </c>
      <c r="F24" s="176">
        <f>VLOOKUP(C24,'SOR RATE'!A:D,4,0)</f>
        <v>4547</v>
      </c>
      <c r="G24" s="176">
        <f>F24*E24</f>
        <v>4547</v>
      </c>
    </row>
    <row r="25" spans="1:7" ht="18.75" customHeight="1">
      <c r="A25" s="686">
        <v>13</v>
      </c>
      <c r="B25" s="173" t="s">
        <v>1342</v>
      </c>
      <c r="C25" s="685">
        <v>7130880041</v>
      </c>
      <c r="D25" s="686" t="s">
        <v>1553</v>
      </c>
      <c r="E25" s="686">
        <v>1</v>
      </c>
      <c r="F25" s="176">
        <f>VLOOKUP(C25,'SOR RATE'!A:D,4,0)</f>
        <v>74</v>
      </c>
      <c r="G25" s="176">
        <f>F25*E25</f>
        <v>74</v>
      </c>
    </row>
    <row r="26" spans="1:7" ht="20.25" customHeight="1">
      <c r="A26" s="1254">
        <v>14</v>
      </c>
      <c r="B26" s="127" t="s">
        <v>1378</v>
      </c>
      <c r="C26" s="699"/>
      <c r="D26" s="700"/>
      <c r="E26" s="700"/>
      <c r="F26" s="700"/>
      <c r="G26" s="701"/>
    </row>
    <row r="27" spans="1:7" ht="15">
      <c r="A27" s="1255"/>
      <c r="B27" s="875" t="s">
        <v>1379</v>
      </c>
      <c r="C27" s="685">
        <v>7130641396</v>
      </c>
      <c r="D27" s="686" t="s">
        <v>1368</v>
      </c>
      <c r="E27" s="686">
        <v>9</v>
      </c>
      <c r="F27" s="176">
        <f>VLOOKUP(C27,'SOR RATE'!A:D,4,0)</f>
        <v>190</v>
      </c>
      <c r="G27" s="176">
        <f aca="true" t="shared" si="1" ref="G27:G32">F27*E27</f>
        <v>1710</v>
      </c>
    </row>
    <row r="28" spans="1:7" ht="15">
      <c r="A28" s="1256"/>
      <c r="B28" s="875" t="s">
        <v>1380</v>
      </c>
      <c r="C28" s="685">
        <v>7130870043</v>
      </c>
      <c r="D28" s="686" t="s">
        <v>458</v>
      </c>
      <c r="E28" s="686">
        <v>15</v>
      </c>
      <c r="F28" s="176">
        <f>VLOOKUP(C28,'SOR RATE'!A:D,4,0)/1000</f>
        <v>55.094</v>
      </c>
      <c r="G28" s="176">
        <f t="shared" si="1"/>
        <v>826.41</v>
      </c>
    </row>
    <row r="29" spans="1:12" ht="19.5" customHeight="1">
      <c r="A29" s="686">
        <v>15</v>
      </c>
      <c r="B29" s="119" t="s">
        <v>308</v>
      </c>
      <c r="C29" s="12">
        <v>7130610206</v>
      </c>
      <c r="D29" s="128" t="s">
        <v>458</v>
      </c>
      <c r="E29" s="686">
        <v>2</v>
      </c>
      <c r="F29" s="176">
        <f>VLOOKUP(C29,'SOR RATE'!A:D,4,0)/1000</f>
        <v>66.528</v>
      </c>
      <c r="G29" s="176">
        <f t="shared" si="1"/>
        <v>133.056</v>
      </c>
      <c r="H29" s="1115"/>
      <c r="I29" s="1076"/>
      <c r="J29" s="64"/>
      <c r="K29" s="64"/>
      <c r="L29" s="864"/>
    </row>
    <row r="30" spans="1:7" ht="15">
      <c r="A30" s="686">
        <v>16</v>
      </c>
      <c r="B30" s="173" t="s">
        <v>455</v>
      </c>
      <c r="C30" s="685">
        <v>7130211158</v>
      </c>
      <c r="D30" s="686" t="s">
        <v>456</v>
      </c>
      <c r="E30" s="686">
        <v>1</v>
      </c>
      <c r="F30" s="176">
        <f>VLOOKUP(C30,'SOR RATE'!A:D,4,0)</f>
        <v>130</v>
      </c>
      <c r="G30" s="176">
        <f t="shared" si="1"/>
        <v>130</v>
      </c>
    </row>
    <row r="31" spans="1:7" ht="15">
      <c r="A31" s="686">
        <v>17</v>
      </c>
      <c r="B31" s="173" t="s">
        <v>457</v>
      </c>
      <c r="C31" s="685">
        <v>7130210809</v>
      </c>
      <c r="D31" s="686" t="s">
        <v>456</v>
      </c>
      <c r="E31" s="686">
        <v>1</v>
      </c>
      <c r="F31" s="176">
        <f>VLOOKUP(C31,'SOR RATE'!A:D,4,0)</f>
        <v>290</v>
      </c>
      <c r="G31" s="176">
        <f t="shared" si="1"/>
        <v>290</v>
      </c>
    </row>
    <row r="32" spans="1:9" ht="18" customHeight="1">
      <c r="A32" s="686">
        <v>18</v>
      </c>
      <c r="B32" s="127" t="s">
        <v>781</v>
      </c>
      <c r="C32" s="685">
        <v>7130840029</v>
      </c>
      <c r="D32" s="686" t="s">
        <v>1553</v>
      </c>
      <c r="E32" s="686">
        <v>3</v>
      </c>
      <c r="F32" s="176">
        <f>VLOOKUP(C32,'SOR RATE'!A:D,4,0)</f>
        <v>425</v>
      </c>
      <c r="G32" s="176">
        <f t="shared" si="1"/>
        <v>1275</v>
      </c>
      <c r="I32" s="1072" t="s">
        <v>1277</v>
      </c>
    </row>
    <row r="33" spans="1:7" ht="15">
      <c r="A33" s="1254">
        <v>19</v>
      </c>
      <c r="B33" s="127" t="s">
        <v>1359</v>
      </c>
      <c r="C33" s="685"/>
      <c r="D33" s="686" t="s">
        <v>458</v>
      </c>
      <c r="E33" s="128">
        <v>14</v>
      </c>
      <c r="F33" s="176"/>
      <c r="G33" s="176"/>
    </row>
    <row r="34" spans="1:7" ht="16.5">
      <c r="A34" s="1255"/>
      <c r="B34" s="876" t="s">
        <v>438</v>
      </c>
      <c r="C34" s="685">
        <v>7130620609</v>
      </c>
      <c r="D34" s="686" t="s">
        <v>458</v>
      </c>
      <c r="E34" s="686">
        <v>1</v>
      </c>
      <c r="F34" s="176">
        <f>VLOOKUP(C34,'SOR RATE'!A:D,4,0)</f>
        <v>64</v>
      </c>
      <c r="G34" s="176">
        <f aca="true" t="shared" si="2" ref="G34:G43">F34*E34</f>
        <v>64</v>
      </c>
    </row>
    <row r="35" spans="1:7" ht="16.5">
      <c r="A35" s="1255"/>
      <c r="B35" s="876" t="s">
        <v>1336</v>
      </c>
      <c r="C35" s="685">
        <v>7130620614</v>
      </c>
      <c r="D35" s="686" t="s">
        <v>458</v>
      </c>
      <c r="E35" s="686">
        <v>4</v>
      </c>
      <c r="F35" s="176">
        <f>VLOOKUP(C35,'SOR RATE'!A:D,4,0)</f>
        <v>63</v>
      </c>
      <c r="G35" s="176">
        <f t="shared" si="2"/>
        <v>252</v>
      </c>
    </row>
    <row r="36" spans="1:7" ht="16.5">
      <c r="A36" s="1255"/>
      <c r="B36" s="876" t="s">
        <v>1338</v>
      </c>
      <c r="C36" s="685">
        <v>7130620625</v>
      </c>
      <c r="D36" s="686" t="s">
        <v>458</v>
      </c>
      <c r="E36" s="686">
        <v>4</v>
      </c>
      <c r="F36" s="176">
        <f>VLOOKUP(C36,'SOR RATE'!A:D,4,0)</f>
        <v>62</v>
      </c>
      <c r="G36" s="176">
        <f t="shared" si="2"/>
        <v>248</v>
      </c>
    </row>
    <row r="37" spans="1:7" ht="16.5">
      <c r="A37" s="1256"/>
      <c r="B37" s="876" t="s">
        <v>1345</v>
      </c>
      <c r="C37" s="685">
        <v>7130620631</v>
      </c>
      <c r="D37" s="686" t="s">
        <v>458</v>
      </c>
      <c r="E37" s="686">
        <v>5</v>
      </c>
      <c r="F37" s="176">
        <f>VLOOKUP(C37,'SOR RATE'!A:D,4,0)</f>
        <v>62</v>
      </c>
      <c r="G37" s="176">
        <f t="shared" si="2"/>
        <v>310</v>
      </c>
    </row>
    <row r="38" spans="1:7" ht="18" customHeight="1">
      <c r="A38" s="686">
        <v>20</v>
      </c>
      <c r="B38" s="173" t="s">
        <v>474</v>
      </c>
      <c r="C38" s="685">
        <v>7131920253</v>
      </c>
      <c r="D38" s="686" t="s">
        <v>452</v>
      </c>
      <c r="E38" s="686">
        <v>1</v>
      </c>
      <c r="F38" s="176">
        <f>VLOOKUP(C38,'SOR RATE'!A:D,4,0)</f>
        <v>681</v>
      </c>
      <c r="G38" s="176">
        <f t="shared" si="2"/>
        <v>681</v>
      </c>
    </row>
    <row r="39" spans="1:10" ht="15">
      <c r="A39" s="686">
        <v>21</v>
      </c>
      <c r="B39" s="173" t="s">
        <v>475</v>
      </c>
      <c r="C39" s="711">
        <v>7130311008</v>
      </c>
      <c r="D39" s="171" t="s">
        <v>1368</v>
      </c>
      <c r="E39" s="686">
        <v>120</v>
      </c>
      <c r="F39" s="176">
        <f>VLOOKUP(C39,'SOR RATE'!A:D,4,0)/1000</f>
        <v>15.99</v>
      </c>
      <c r="G39" s="176">
        <f t="shared" si="2"/>
        <v>1918.8</v>
      </c>
      <c r="I39" s="69"/>
      <c r="J39" s="69"/>
    </row>
    <row r="40" spans="1:11" ht="18" customHeight="1">
      <c r="A40" s="128">
        <v>22</v>
      </c>
      <c r="B40" s="126" t="s">
        <v>476</v>
      </c>
      <c r="C40" s="12">
        <v>7131310997</v>
      </c>
      <c r="D40" s="686" t="s">
        <v>452</v>
      </c>
      <c r="E40" s="686">
        <v>1</v>
      </c>
      <c r="F40" s="176">
        <f>VLOOKUP(C40,'SOR RATE'!A:D,4,0)</f>
        <v>2487</v>
      </c>
      <c r="G40" s="176">
        <f t="shared" si="2"/>
        <v>2487</v>
      </c>
      <c r="H40" s="101"/>
      <c r="I40" s="97"/>
      <c r="J40" s="97"/>
      <c r="K40" s="97"/>
    </row>
    <row r="41" spans="1:9" ht="15">
      <c r="A41" s="128">
        <v>23</v>
      </c>
      <c r="B41" s="808" t="s">
        <v>477</v>
      </c>
      <c r="C41" s="804">
        <v>7132230016</v>
      </c>
      <c r="D41" s="686" t="s">
        <v>452</v>
      </c>
      <c r="E41" s="687">
        <v>4</v>
      </c>
      <c r="F41" s="176">
        <f>VLOOKUP(C41,'SOR RATE'!A:D,4,0)</f>
        <v>335</v>
      </c>
      <c r="G41" s="176">
        <f t="shared" si="2"/>
        <v>1340</v>
      </c>
      <c r="I41" s="432"/>
    </row>
    <row r="42" spans="1:7" ht="19.5" customHeight="1">
      <c r="A42" s="128">
        <v>24</v>
      </c>
      <c r="B42" s="126" t="s">
        <v>478</v>
      </c>
      <c r="C42" s="12">
        <v>7132406420</v>
      </c>
      <c r="D42" s="686" t="s">
        <v>452</v>
      </c>
      <c r="E42" s="686">
        <v>1</v>
      </c>
      <c r="F42" s="176">
        <f>VLOOKUP(C42,'SOR RATE'!A:D,4,0)</f>
        <v>2437</v>
      </c>
      <c r="G42" s="176">
        <f t="shared" si="2"/>
        <v>2437</v>
      </c>
    </row>
    <row r="43" spans="1:9" ht="18" customHeight="1">
      <c r="A43" s="128">
        <v>25</v>
      </c>
      <c r="B43" s="126" t="s">
        <v>479</v>
      </c>
      <c r="C43" s="12">
        <v>7130310654</v>
      </c>
      <c r="D43" s="114" t="s">
        <v>1368</v>
      </c>
      <c r="E43" s="114">
        <v>12</v>
      </c>
      <c r="F43" s="176">
        <f>VLOOKUP(C43,'SOR RATE'!A:D,4,0)/1000</f>
        <v>67.671</v>
      </c>
      <c r="G43" s="176">
        <f t="shared" si="2"/>
        <v>812.0520000000001</v>
      </c>
      <c r="I43" s="877"/>
    </row>
    <row r="44" spans="1:12" ht="19.5" customHeight="1">
      <c r="A44" s="17">
        <v>26</v>
      </c>
      <c r="B44" s="125" t="s">
        <v>1576</v>
      </c>
      <c r="C44" s="878"/>
      <c r="D44" s="131"/>
      <c r="E44" s="131"/>
      <c r="F44" s="879"/>
      <c r="G44" s="1094">
        <f>SUM(G10:G43)</f>
        <v>89294.674</v>
      </c>
      <c r="H44" s="101"/>
      <c r="I44" s="7"/>
      <c r="J44" s="65"/>
      <c r="K44" s="65"/>
      <c r="L44" s="65"/>
    </row>
    <row r="45" spans="1:12" ht="18.75" customHeight="1">
      <c r="A45" s="847">
        <v>27</v>
      </c>
      <c r="B45" s="119" t="s">
        <v>1575</v>
      </c>
      <c r="C45" s="706"/>
      <c r="D45" s="707"/>
      <c r="E45" s="707"/>
      <c r="F45" s="708">
        <v>0.09</v>
      </c>
      <c r="G45" s="696">
        <f>G44*F45</f>
        <v>8036.520659999999</v>
      </c>
      <c r="H45" s="101"/>
      <c r="I45" s="97"/>
      <c r="J45" s="65"/>
      <c r="K45" s="65"/>
      <c r="L45" s="65"/>
    </row>
    <row r="46" spans="1:12" ht="18.75" customHeight="1">
      <c r="A46" s="128">
        <v>28</v>
      </c>
      <c r="B46" s="173" t="s">
        <v>316</v>
      </c>
      <c r="C46" s="711"/>
      <c r="D46" s="171" t="s">
        <v>452</v>
      </c>
      <c r="E46" s="708">
        <v>3</v>
      </c>
      <c r="F46" s="3">
        <f>132*1.11*1.0891*1.086275*1.1112*1.0685</f>
        <v>205.81224590423886</v>
      </c>
      <c r="G46" s="696">
        <f>E46*F46</f>
        <v>617.4367377127166</v>
      </c>
      <c r="H46" s="102"/>
      <c r="I46" s="710"/>
      <c r="J46" s="975"/>
      <c r="K46" s="65"/>
      <c r="L46" s="65"/>
    </row>
    <row r="47" spans="1:7" ht="18" customHeight="1">
      <c r="A47" s="686">
        <v>29</v>
      </c>
      <c r="B47" s="698" t="s">
        <v>1372</v>
      </c>
      <c r="C47" s="711"/>
      <c r="D47" s="171" t="s">
        <v>454</v>
      </c>
      <c r="E47" s="171">
        <v>1.85</v>
      </c>
      <c r="F47" s="172">
        <f>1664*1.27*1.0891*1.086275*1.1112*1.0685</f>
        <v>2968.460981603261</v>
      </c>
      <c r="G47" s="172">
        <f>F47*E47</f>
        <v>5491.652815966034</v>
      </c>
    </row>
    <row r="48" spans="1:7" ht="18" customHeight="1">
      <c r="A48" s="686">
        <v>30</v>
      </c>
      <c r="B48" s="698" t="s">
        <v>395</v>
      </c>
      <c r="C48" s="712"/>
      <c r="D48" s="171" t="s">
        <v>452</v>
      </c>
      <c r="E48" s="171">
        <v>1</v>
      </c>
      <c r="F48" s="172">
        <f>3075*1.27*1.0891*1.086275*1.1112*1.0685</f>
        <v>5485.587450979585</v>
      </c>
      <c r="G48" s="172">
        <f>F48*E48</f>
        <v>5485.587450979585</v>
      </c>
    </row>
    <row r="49" spans="1:8" ht="18.75" customHeight="1">
      <c r="A49" s="686">
        <v>31</v>
      </c>
      <c r="B49" s="127" t="s">
        <v>542</v>
      </c>
      <c r="C49" s="685"/>
      <c r="D49" s="686"/>
      <c r="E49" s="686"/>
      <c r="F49" s="686"/>
      <c r="G49" s="176">
        <v>7965.45</v>
      </c>
      <c r="H49" s="35"/>
    </row>
    <row r="50" spans="1:7" ht="35.25" customHeight="1">
      <c r="A50" s="686">
        <v>32</v>
      </c>
      <c r="B50" s="173" t="s">
        <v>1119</v>
      </c>
      <c r="C50" s="712"/>
      <c r="D50" s="686"/>
      <c r="E50" s="686"/>
      <c r="F50" s="686"/>
      <c r="G50" s="176">
        <f>1.1*1.1*2363*1.2*1.1*1.1797*1.1402*0.9368</f>
        <v>4755.7883787147575</v>
      </c>
    </row>
    <row r="51" spans="1:8" ht="18.75" customHeight="1">
      <c r="A51" s="17">
        <v>33</v>
      </c>
      <c r="B51" s="125" t="s">
        <v>1577</v>
      </c>
      <c r="C51" s="712"/>
      <c r="D51" s="686"/>
      <c r="E51" s="686"/>
      <c r="F51" s="686"/>
      <c r="G51" s="130">
        <f>G44+G45+G46+G47+G48+G49+G50</f>
        <v>121647.11004337309</v>
      </c>
      <c r="H51" s="102"/>
    </row>
    <row r="52" spans="1:8" ht="34.5" customHeight="1">
      <c r="A52" s="686">
        <v>34</v>
      </c>
      <c r="B52" s="119" t="s">
        <v>1578</v>
      </c>
      <c r="C52" s="712"/>
      <c r="D52" s="686"/>
      <c r="E52" s="686"/>
      <c r="F52" s="686">
        <v>0.11</v>
      </c>
      <c r="G52" s="176">
        <f>G44*F52</f>
        <v>9822.41414</v>
      </c>
      <c r="H52" s="102"/>
    </row>
    <row r="53" spans="1:7" ht="20.25" customHeight="1">
      <c r="A53" s="686">
        <v>35</v>
      </c>
      <c r="B53" s="127" t="s">
        <v>1395</v>
      </c>
      <c r="C53" s="204"/>
      <c r="D53" s="204"/>
      <c r="E53" s="204"/>
      <c r="F53" s="204"/>
      <c r="G53" s="696">
        <f>G51+G52</f>
        <v>131469.52418337308</v>
      </c>
    </row>
    <row r="54" spans="1:7" ht="18.75" customHeight="1">
      <c r="A54" s="17">
        <v>36</v>
      </c>
      <c r="B54" s="132" t="s">
        <v>543</v>
      </c>
      <c r="C54" s="204"/>
      <c r="D54" s="204"/>
      <c r="E54" s="204"/>
      <c r="F54" s="204"/>
      <c r="G54" s="4">
        <f>ROUND(G53,0)</f>
        <v>131470</v>
      </c>
    </row>
    <row r="56" spans="2:7" ht="20.25" customHeight="1">
      <c r="B56" s="1095" t="s">
        <v>480</v>
      </c>
      <c r="C56" s="93"/>
      <c r="D56" s="93"/>
      <c r="E56" s="93"/>
      <c r="F56" s="93"/>
      <c r="G56" s="93"/>
    </row>
  </sheetData>
  <sheetProtection/>
  <mergeCells count="11">
    <mergeCell ref="E7:G7"/>
    <mergeCell ref="A18:A20"/>
    <mergeCell ref="A21:A22"/>
    <mergeCell ref="A26:A28"/>
    <mergeCell ref="A33:A37"/>
    <mergeCell ref="B1:C1"/>
    <mergeCell ref="B3:E3"/>
    <mergeCell ref="A7:A8"/>
    <mergeCell ref="B7:B8"/>
    <mergeCell ref="C7:C8"/>
    <mergeCell ref="D7:D8"/>
  </mergeCells>
  <conditionalFormatting sqref="B44:B46">
    <cfRule type="cellIs" priority="1" dxfId="0" operator="equal" stopIfTrue="1">
      <formula>"?"</formula>
    </cfRule>
  </conditionalFormatting>
  <printOptions horizontalCentered="1"/>
  <pageMargins left="0.54" right="0.15" top="0.66" bottom="0.3" header="0.33" footer="0.18"/>
  <pageSetup fitToHeight="2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Q54"/>
  <sheetViews>
    <sheetView zoomScale="85" zoomScaleNormal="85"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5.421875" style="36" customWidth="1"/>
    <col min="2" max="2" width="76.00390625" style="1" customWidth="1"/>
    <col min="3" max="3" width="15.8515625" style="1" customWidth="1"/>
    <col min="4" max="4" width="7.28125" style="1" customWidth="1"/>
    <col min="5" max="5" width="6.8515625" style="1" customWidth="1"/>
    <col min="6" max="6" width="11.8515625" style="1" customWidth="1"/>
    <col min="7" max="7" width="13.421875" style="1" customWidth="1"/>
    <col min="8" max="8" width="17.7109375" style="1" customWidth="1"/>
    <col min="9" max="9" width="19.140625" style="1" customWidth="1"/>
    <col min="10" max="10" width="16.421875" style="1" customWidth="1"/>
    <col min="11" max="11" width="6.8515625" style="1" customWidth="1"/>
    <col min="12" max="12" width="3.57421875" style="1" customWidth="1"/>
    <col min="13" max="13" width="12.421875" style="1" customWidth="1"/>
    <col min="14" max="14" width="10.28125" style="1" customWidth="1"/>
    <col min="15" max="15" width="11.28125" style="1" customWidth="1"/>
    <col min="16" max="16" width="15.421875" style="1" customWidth="1"/>
    <col min="17" max="17" width="15.140625" style="1" customWidth="1"/>
    <col min="18" max="16384" width="9.140625" style="1" customWidth="1"/>
  </cols>
  <sheetData>
    <row r="1" spans="2:17" ht="18">
      <c r="B1" s="1153" t="s">
        <v>938</v>
      </c>
      <c r="C1" s="1153"/>
      <c r="D1" s="1153"/>
      <c r="E1" s="57"/>
      <c r="F1" s="57"/>
      <c r="G1" s="57"/>
      <c r="K1" s="880"/>
      <c r="L1" s="880"/>
      <c r="M1" s="880"/>
      <c r="N1" s="880"/>
      <c r="O1" s="880"/>
      <c r="P1" s="880"/>
      <c r="Q1" s="880"/>
    </row>
    <row r="2" spans="1:17" ht="15.75">
      <c r="A2" s="673"/>
      <c r="B2" s="44"/>
      <c r="C2" s="722"/>
      <c r="D2" s="723"/>
      <c r="E2" s="673"/>
      <c r="F2" s="7"/>
      <c r="K2" s="881"/>
      <c r="L2" s="93"/>
      <c r="M2" s="92"/>
      <c r="N2" s="794"/>
      <c r="O2" s="675"/>
      <c r="P2" s="91"/>
      <c r="Q2" s="678"/>
    </row>
    <row r="3" spans="2:17" ht="15.75">
      <c r="B3" s="1243" t="s">
        <v>481</v>
      </c>
      <c r="C3" s="1243"/>
      <c r="D3" s="1243"/>
      <c r="E3" s="1243"/>
      <c r="F3" s="1243"/>
      <c r="G3" s="236"/>
      <c r="K3" s="74"/>
      <c r="L3" s="74"/>
      <c r="M3" s="74"/>
      <c r="N3" s="74"/>
      <c r="O3" s="74"/>
      <c r="P3" s="74"/>
      <c r="Q3" s="74"/>
    </row>
    <row r="4" spans="2:17" ht="15.75">
      <c r="B4" s="34"/>
      <c r="C4" s="34"/>
      <c r="D4" s="34"/>
      <c r="E4" s="34"/>
      <c r="F4" s="34"/>
      <c r="G4" s="74"/>
      <c r="K4" s="74"/>
      <c r="L4" s="74"/>
      <c r="M4" s="74"/>
      <c r="N4" s="74"/>
      <c r="O4" s="74"/>
      <c r="P4" s="74"/>
      <c r="Q4" s="74"/>
    </row>
    <row r="5" spans="2:17" ht="15.75">
      <c r="B5" s="34"/>
      <c r="C5" s="34"/>
      <c r="D5" s="34"/>
      <c r="E5" s="34"/>
      <c r="F5" s="34"/>
      <c r="G5" s="112" t="s">
        <v>551</v>
      </c>
      <c r="K5" s="74"/>
      <c r="L5" s="74"/>
      <c r="M5" s="74"/>
      <c r="N5" s="74"/>
      <c r="O5" s="74"/>
      <c r="P5" s="74"/>
      <c r="Q5" s="74"/>
    </row>
    <row r="6" spans="1:17" ht="15">
      <c r="A6" s="724"/>
      <c r="B6" s="725"/>
      <c r="C6" s="92"/>
      <c r="D6" s="726"/>
      <c r="E6" s="724"/>
      <c r="F6" s="727"/>
      <c r="G6" s="727"/>
      <c r="K6" s="881"/>
      <c r="L6" s="93"/>
      <c r="M6" s="92"/>
      <c r="N6" s="794"/>
      <c r="O6" s="675"/>
      <c r="P6" s="91"/>
      <c r="Q6" s="91"/>
    </row>
    <row r="7" spans="1:17" ht="15.75" customHeight="1">
      <c r="A7" s="1291" t="s">
        <v>1335</v>
      </c>
      <c r="B7" s="1297" t="s">
        <v>449</v>
      </c>
      <c r="C7" s="1274" t="s">
        <v>53</v>
      </c>
      <c r="D7" s="1314" t="s">
        <v>450</v>
      </c>
      <c r="E7" s="1260" t="s">
        <v>482</v>
      </c>
      <c r="F7" s="1260"/>
      <c r="G7" s="1260"/>
      <c r="K7" s="750"/>
      <c r="L7" s="750"/>
      <c r="M7" s="882"/>
      <c r="N7" s="20"/>
      <c r="O7" s="74"/>
      <c r="P7" s="74"/>
      <c r="Q7" s="74"/>
    </row>
    <row r="8" spans="1:17" ht="15.75">
      <c r="A8" s="1292"/>
      <c r="B8" s="1297"/>
      <c r="C8" s="1275"/>
      <c r="D8" s="1314"/>
      <c r="E8" s="17" t="s">
        <v>1315</v>
      </c>
      <c r="F8" s="17" t="s">
        <v>799</v>
      </c>
      <c r="G8" s="17" t="s">
        <v>800</v>
      </c>
      <c r="K8" s="750"/>
      <c r="L8" s="750"/>
      <c r="M8" s="882"/>
      <c r="N8" s="20"/>
      <c r="O8" s="14"/>
      <c r="P8" s="34"/>
      <c r="Q8" s="34"/>
    </row>
    <row r="9" spans="1:17" ht="15.75">
      <c r="A9" s="679">
        <v>1</v>
      </c>
      <c r="B9" s="680">
        <v>2</v>
      </c>
      <c r="C9" s="679">
        <v>3</v>
      </c>
      <c r="D9" s="679">
        <v>4</v>
      </c>
      <c r="E9" s="679">
        <v>5</v>
      </c>
      <c r="F9" s="679">
        <v>6</v>
      </c>
      <c r="G9" s="679">
        <v>7</v>
      </c>
      <c r="K9" s="883"/>
      <c r="L9" s="884"/>
      <c r="M9" s="883"/>
      <c r="N9" s="885"/>
      <c r="O9" s="885"/>
      <c r="P9" s="883"/>
      <c r="Q9" s="885"/>
    </row>
    <row r="10" spans="1:17" ht="20.25" customHeight="1">
      <c r="A10" s="686">
        <v>1</v>
      </c>
      <c r="B10" s="173" t="s">
        <v>483</v>
      </c>
      <c r="C10" s="685">
        <v>7132210078</v>
      </c>
      <c r="D10" s="686" t="s">
        <v>452</v>
      </c>
      <c r="E10" s="686">
        <v>1</v>
      </c>
      <c r="F10" s="176">
        <f>VLOOKUP(C10,'SOR RATE'!A:D,4,0)</f>
        <v>36194</v>
      </c>
      <c r="G10" s="176">
        <f aca="true" t="shared" si="0" ref="G10:G20">F10*E10</f>
        <v>36194</v>
      </c>
      <c r="K10" s="881"/>
      <c r="L10" s="93"/>
      <c r="M10" s="92"/>
      <c r="N10" s="794"/>
      <c r="O10" s="675"/>
      <c r="P10" s="886"/>
      <c r="Q10" s="887"/>
    </row>
    <row r="11" spans="1:17" ht="19.5" customHeight="1">
      <c r="A11" s="686">
        <v>2</v>
      </c>
      <c r="B11" s="173" t="s">
        <v>468</v>
      </c>
      <c r="C11" s="804">
        <v>7130800012</v>
      </c>
      <c r="D11" s="686" t="s">
        <v>452</v>
      </c>
      <c r="E11" s="686">
        <v>3</v>
      </c>
      <c r="F11" s="176">
        <f>VLOOKUP(C11,'SOR RATE'!A:D,4,0)</f>
        <v>1654</v>
      </c>
      <c r="G11" s="176">
        <f t="shared" si="0"/>
        <v>4962</v>
      </c>
      <c r="K11" s="881"/>
      <c r="L11" s="93"/>
      <c r="M11" s="888"/>
      <c r="N11" s="89"/>
      <c r="O11" s="675"/>
      <c r="P11" s="887"/>
      <c r="Q11" s="887"/>
    </row>
    <row r="12" spans="1:17" ht="19.5" customHeight="1">
      <c r="A12" s="686">
        <v>3</v>
      </c>
      <c r="B12" s="173" t="s">
        <v>469</v>
      </c>
      <c r="C12" s="685">
        <v>7130810517</v>
      </c>
      <c r="D12" s="686" t="s">
        <v>452</v>
      </c>
      <c r="E12" s="686">
        <v>1</v>
      </c>
      <c r="F12" s="176">
        <f>VLOOKUP(C12,'SOR RATE'!A:D,4,0)</f>
        <v>4547</v>
      </c>
      <c r="G12" s="176">
        <f t="shared" si="0"/>
        <v>4547</v>
      </c>
      <c r="I12" s="805"/>
      <c r="J12" s="7"/>
      <c r="K12" s="881"/>
      <c r="L12" s="93"/>
      <c r="M12" s="889"/>
      <c r="N12" s="890"/>
      <c r="O12" s="675"/>
      <c r="P12" s="887"/>
      <c r="Q12" s="887"/>
    </row>
    <row r="13" spans="1:17" ht="18" customHeight="1">
      <c r="A13" s="686">
        <v>4</v>
      </c>
      <c r="B13" s="127" t="s">
        <v>1030</v>
      </c>
      <c r="C13" s="685">
        <v>7130820010</v>
      </c>
      <c r="D13" s="686" t="s">
        <v>452</v>
      </c>
      <c r="E13" s="686">
        <v>3</v>
      </c>
      <c r="F13" s="176">
        <f>VLOOKUP(C13,'SOR RATE'!A:D,4,0)</f>
        <v>140</v>
      </c>
      <c r="G13" s="176">
        <f t="shared" si="0"/>
        <v>420</v>
      </c>
      <c r="I13" s="1072" t="s">
        <v>1031</v>
      </c>
      <c r="K13" s="881"/>
      <c r="L13" s="93"/>
      <c r="M13" s="889"/>
      <c r="N13" s="890"/>
      <c r="O13" s="675"/>
      <c r="P13" s="887"/>
      <c r="Q13" s="887"/>
    </row>
    <row r="14" spans="1:17" ht="16.5" customHeight="1">
      <c r="A14" s="686">
        <v>5</v>
      </c>
      <c r="B14" s="173" t="s">
        <v>470</v>
      </c>
      <c r="C14" s="804">
        <v>7130820241</v>
      </c>
      <c r="D14" s="686" t="s">
        <v>802</v>
      </c>
      <c r="E14" s="686">
        <v>3</v>
      </c>
      <c r="F14" s="176">
        <f>VLOOKUP(C14,'SOR RATE'!A:D,4,0)</f>
        <v>123</v>
      </c>
      <c r="G14" s="176">
        <f t="shared" si="0"/>
        <v>369</v>
      </c>
      <c r="K14" s="881"/>
      <c r="L14" s="93"/>
      <c r="M14" s="891"/>
      <c r="N14" s="890"/>
      <c r="O14" s="675"/>
      <c r="P14" s="887"/>
      <c r="Q14" s="887"/>
    </row>
    <row r="15" spans="1:17" ht="22.5" customHeight="1">
      <c r="A15" s="175">
        <v>6</v>
      </c>
      <c r="B15" s="692" t="s">
        <v>471</v>
      </c>
      <c r="C15" s="693">
        <v>7130810509</v>
      </c>
      <c r="D15" s="691" t="s">
        <v>452</v>
      </c>
      <c r="E15" s="691">
        <v>1</v>
      </c>
      <c r="F15" s="176">
        <f>VLOOKUP(C15,'SOR RATE'!A205:D205,4,0)</f>
        <v>3322</v>
      </c>
      <c r="G15" s="176">
        <f t="shared" si="0"/>
        <v>3322</v>
      </c>
      <c r="I15" s="805"/>
      <c r="J15" s="7"/>
      <c r="K15" s="890"/>
      <c r="L15" s="93"/>
      <c r="M15" s="892"/>
      <c r="N15" s="893"/>
      <c r="O15" s="894"/>
      <c r="P15" s="887"/>
      <c r="Q15" s="887"/>
    </row>
    <row r="16" spans="1:17" ht="20.25" customHeight="1">
      <c r="A16" s="686">
        <v>7</v>
      </c>
      <c r="B16" s="173" t="s">
        <v>188</v>
      </c>
      <c r="C16" s="685">
        <v>7131930412</v>
      </c>
      <c r="D16" s="686" t="s">
        <v>1553</v>
      </c>
      <c r="E16" s="686">
        <v>2</v>
      </c>
      <c r="F16" s="176">
        <f>VLOOKUP(C16,'SOR RATE'!A:D,4,0)</f>
        <v>1199</v>
      </c>
      <c r="G16" s="176">
        <f t="shared" si="0"/>
        <v>2398</v>
      </c>
      <c r="K16" s="881"/>
      <c r="L16" s="93"/>
      <c r="M16" s="92"/>
      <c r="N16" s="794"/>
      <c r="O16" s="675"/>
      <c r="P16" s="887"/>
      <c r="Q16" s="887"/>
    </row>
    <row r="17" spans="1:17" ht="18.75" customHeight="1">
      <c r="A17" s="686">
        <v>8</v>
      </c>
      <c r="B17" s="173" t="s">
        <v>901</v>
      </c>
      <c r="C17" s="171">
        <v>7130600023</v>
      </c>
      <c r="D17" s="171" t="s">
        <v>458</v>
      </c>
      <c r="E17" s="686">
        <v>20</v>
      </c>
      <c r="F17" s="176">
        <f>VLOOKUP(C17,'SOR RATE'!A:D,4,0)/1000</f>
        <v>40.214</v>
      </c>
      <c r="G17" s="176">
        <f t="shared" si="0"/>
        <v>804.28</v>
      </c>
      <c r="I17" s="56"/>
      <c r="J17" s="895"/>
      <c r="K17" s="896"/>
      <c r="L17" s="897"/>
      <c r="M17" s="897"/>
      <c r="N17" s="93"/>
      <c r="O17" s="675"/>
      <c r="P17" s="887"/>
      <c r="Q17" s="887"/>
    </row>
    <row r="18" spans="1:17" ht="18" customHeight="1">
      <c r="A18" s="1254">
        <v>9</v>
      </c>
      <c r="B18" s="127" t="s">
        <v>303</v>
      </c>
      <c r="C18" s="804">
        <v>7130860032</v>
      </c>
      <c r="D18" s="686" t="s">
        <v>452</v>
      </c>
      <c r="E18" s="128">
        <v>4</v>
      </c>
      <c r="F18" s="176">
        <f>VLOOKUP(C18,'SOR RATE'!A:D,4,0)</f>
        <v>387</v>
      </c>
      <c r="G18" s="176">
        <f t="shared" si="0"/>
        <v>1548</v>
      </c>
      <c r="K18" s="890"/>
      <c r="L18" s="898"/>
      <c r="M18" s="92"/>
      <c r="N18" s="89"/>
      <c r="O18" s="899"/>
      <c r="P18" s="887"/>
      <c r="Q18" s="887"/>
    </row>
    <row r="19" spans="1:17" ht="18.75" customHeight="1">
      <c r="A19" s="1255"/>
      <c r="B19" s="807" t="s">
        <v>304</v>
      </c>
      <c r="C19" s="804">
        <v>7130860077</v>
      </c>
      <c r="D19" s="686" t="s">
        <v>458</v>
      </c>
      <c r="E19" s="128">
        <v>22</v>
      </c>
      <c r="F19" s="176">
        <f>VLOOKUP(C19,'SOR RATE'!A:D,4,0)/1000</f>
        <v>61.6</v>
      </c>
      <c r="G19" s="176">
        <f t="shared" si="0"/>
        <v>1355.2</v>
      </c>
      <c r="K19" s="890"/>
      <c r="L19" s="33"/>
      <c r="M19" s="92"/>
      <c r="N19" s="89"/>
      <c r="O19" s="899"/>
      <c r="P19" s="887"/>
      <c r="Q19" s="887"/>
    </row>
    <row r="20" spans="1:17" ht="15">
      <c r="A20" s="1256"/>
      <c r="B20" s="807" t="s">
        <v>305</v>
      </c>
      <c r="C20" s="804">
        <v>7130810026</v>
      </c>
      <c r="D20" s="686" t="s">
        <v>452</v>
      </c>
      <c r="E20" s="128">
        <v>4</v>
      </c>
      <c r="F20" s="176">
        <f>VLOOKUP(C20,'SOR RATE'!A:D,4,0)</f>
        <v>142</v>
      </c>
      <c r="G20" s="176">
        <f t="shared" si="0"/>
        <v>568</v>
      </c>
      <c r="I20" s="7"/>
      <c r="J20" s="7"/>
      <c r="K20" s="890"/>
      <c r="L20" s="91"/>
      <c r="M20" s="900"/>
      <c r="N20" s="89"/>
      <c r="O20" s="899"/>
      <c r="P20" s="887"/>
      <c r="Q20" s="887"/>
    </row>
    <row r="21" spans="1:17" ht="36" customHeight="1">
      <c r="A21" s="1254">
        <v>10</v>
      </c>
      <c r="B21" s="127" t="s">
        <v>472</v>
      </c>
      <c r="C21" s="685"/>
      <c r="D21" s="114" t="s">
        <v>454</v>
      </c>
      <c r="E21" s="114">
        <v>1.85</v>
      </c>
      <c r="F21" s="176"/>
      <c r="G21" s="176"/>
      <c r="K21" s="881"/>
      <c r="L21" s="254"/>
      <c r="M21" s="92"/>
      <c r="N21" s="254"/>
      <c r="O21" s="254"/>
      <c r="P21" s="887"/>
      <c r="Q21" s="887"/>
    </row>
    <row r="22" spans="1:17" ht="20.25" customHeight="1">
      <c r="A22" s="1256"/>
      <c r="B22" s="127" t="s">
        <v>307</v>
      </c>
      <c r="C22" s="685">
        <v>7130200401</v>
      </c>
      <c r="D22" s="697" t="s">
        <v>458</v>
      </c>
      <c r="E22" s="686">
        <v>385</v>
      </c>
      <c r="F22" s="176">
        <f>VLOOKUP(C22,'SOR RATE'!A:D,4,0)/50</f>
        <v>5.36</v>
      </c>
      <c r="G22" s="176">
        <f>F22*E22</f>
        <v>2063.6</v>
      </c>
      <c r="K22" s="881"/>
      <c r="L22" s="254"/>
      <c r="M22" s="92"/>
      <c r="N22" s="901"/>
      <c r="O22" s="675"/>
      <c r="P22" s="887"/>
      <c r="Q22" s="887"/>
    </row>
    <row r="23" spans="1:17" ht="21.75" customHeight="1">
      <c r="A23" s="686">
        <v>11</v>
      </c>
      <c r="B23" s="698" t="s">
        <v>1376</v>
      </c>
      <c r="C23" s="685">
        <v>7130600023</v>
      </c>
      <c r="D23" s="697" t="s">
        <v>458</v>
      </c>
      <c r="E23" s="686">
        <v>34</v>
      </c>
      <c r="F23" s="176">
        <f>VLOOKUP(C23,'SOR RATE'!A:D,4,0)/1000</f>
        <v>40.214</v>
      </c>
      <c r="G23" s="176">
        <f>F23*E23</f>
        <v>1367.2759999999998</v>
      </c>
      <c r="I23" s="56"/>
      <c r="J23" s="7"/>
      <c r="K23" s="881"/>
      <c r="L23" s="902"/>
      <c r="M23" s="903"/>
      <c r="N23" s="890"/>
      <c r="O23" s="675"/>
      <c r="P23" s="887"/>
      <c r="Q23" s="887"/>
    </row>
    <row r="24" spans="1:17" ht="19.5" customHeight="1">
      <c r="A24" s="686">
        <v>12</v>
      </c>
      <c r="B24" s="173" t="s">
        <v>1377</v>
      </c>
      <c r="C24" s="711">
        <v>7130850201</v>
      </c>
      <c r="D24" s="171" t="s">
        <v>802</v>
      </c>
      <c r="E24" s="686">
        <v>1</v>
      </c>
      <c r="F24" s="176">
        <f>VLOOKUP(C24,'SOR RATE'!A:D,4,0)</f>
        <v>4547</v>
      </c>
      <c r="G24" s="176">
        <f>F24*E24</f>
        <v>4547</v>
      </c>
      <c r="I24" s="805"/>
      <c r="J24" s="7"/>
      <c r="K24" s="881"/>
      <c r="L24" s="93"/>
      <c r="M24" s="93"/>
      <c r="N24" s="93"/>
      <c r="O24" s="675"/>
      <c r="P24" s="887"/>
      <c r="Q24" s="887"/>
    </row>
    <row r="25" spans="1:17" ht="20.25" customHeight="1">
      <c r="A25" s="686">
        <v>13</v>
      </c>
      <c r="B25" s="173" t="s">
        <v>1342</v>
      </c>
      <c r="C25" s="685">
        <v>7130880041</v>
      </c>
      <c r="D25" s="686" t="s">
        <v>1553</v>
      </c>
      <c r="E25" s="686">
        <v>1</v>
      </c>
      <c r="F25" s="176">
        <f>VLOOKUP(C25,'SOR RATE'!A:D,4,0)</f>
        <v>74</v>
      </c>
      <c r="G25" s="176">
        <f>F25*E25</f>
        <v>74</v>
      </c>
      <c r="K25" s="881"/>
      <c r="L25" s="93"/>
      <c r="M25" s="92"/>
      <c r="N25" s="794"/>
      <c r="O25" s="675"/>
      <c r="P25" s="887"/>
      <c r="Q25" s="887"/>
    </row>
    <row r="26" spans="1:17" ht="21" customHeight="1">
      <c r="A26" s="1254">
        <v>14</v>
      </c>
      <c r="B26" s="127" t="s">
        <v>1378</v>
      </c>
      <c r="C26" s="699"/>
      <c r="D26" s="700"/>
      <c r="E26" s="700"/>
      <c r="F26" s="700"/>
      <c r="G26" s="701"/>
      <c r="K26" s="881"/>
      <c r="L26" s="254"/>
      <c r="M26" s="92"/>
      <c r="N26" s="794"/>
      <c r="O26" s="14"/>
      <c r="P26" s="887"/>
      <c r="Q26" s="887"/>
    </row>
    <row r="27" spans="1:17" ht="15">
      <c r="A27" s="1255"/>
      <c r="B27" s="875" t="s">
        <v>1379</v>
      </c>
      <c r="C27" s="685">
        <v>7130641396</v>
      </c>
      <c r="D27" s="686" t="s">
        <v>1368</v>
      </c>
      <c r="E27" s="686">
        <v>9</v>
      </c>
      <c r="F27" s="176">
        <f>VLOOKUP(C27,'SOR RATE'!A:D,4,0)</f>
        <v>190</v>
      </c>
      <c r="G27" s="176">
        <f aca="true" t="shared" si="1" ref="G27:G32">F27*E27</f>
        <v>1710</v>
      </c>
      <c r="K27" s="881"/>
      <c r="L27" s="93"/>
      <c r="M27" s="92"/>
      <c r="N27" s="794"/>
      <c r="O27" s="675"/>
      <c r="P27" s="887"/>
      <c r="Q27" s="887"/>
    </row>
    <row r="28" spans="1:17" ht="15">
      <c r="A28" s="1256"/>
      <c r="B28" s="875" t="s">
        <v>1380</v>
      </c>
      <c r="C28" s="685">
        <v>7130870043</v>
      </c>
      <c r="D28" s="686" t="s">
        <v>458</v>
      </c>
      <c r="E28" s="686">
        <v>15</v>
      </c>
      <c r="F28" s="176">
        <f>VLOOKUP(C28,'SOR RATE'!A:D,4,0)/1000</f>
        <v>55.094</v>
      </c>
      <c r="G28" s="176">
        <f t="shared" si="1"/>
        <v>826.41</v>
      </c>
      <c r="K28" s="881"/>
      <c r="L28" s="93"/>
      <c r="M28" s="92"/>
      <c r="N28" s="794"/>
      <c r="O28" s="675"/>
      <c r="P28" s="887"/>
      <c r="Q28" s="887"/>
    </row>
    <row r="29" spans="1:17" ht="19.5" customHeight="1">
      <c r="A29" s="686">
        <v>15</v>
      </c>
      <c r="B29" s="119" t="s">
        <v>308</v>
      </c>
      <c r="C29" s="12">
        <v>7130610206</v>
      </c>
      <c r="D29" s="128" t="s">
        <v>458</v>
      </c>
      <c r="E29" s="686">
        <v>2</v>
      </c>
      <c r="F29" s="176">
        <f>VLOOKUP(C29,'SOR RATE'!A:D,4,0)/1000</f>
        <v>66.528</v>
      </c>
      <c r="G29" s="176">
        <f t="shared" si="1"/>
        <v>133.056</v>
      </c>
      <c r="H29" s="1115"/>
      <c r="I29" s="1076"/>
      <c r="K29" s="881"/>
      <c r="L29" s="93"/>
      <c r="M29" s="92"/>
      <c r="N29" s="794"/>
      <c r="O29" s="675"/>
      <c r="P29" s="887"/>
      <c r="Q29" s="887"/>
    </row>
    <row r="30" spans="1:17" ht="15">
      <c r="A30" s="686">
        <v>16</v>
      </c>
      <c r="B30" s="173" t="s">
        <v>455</v>
      </c>
      <c r="C30" s="685">
        <v>7130211158</v>
      </c>
      <c r="D30" s="686" t="s">
        <v>456</v>
      </c>
      <c r="E30" s="686">
        <v>1</v>
      </c>
      <c r="F30" s="176">
        <f>VLOOKUP(C30,'SOR RATE'!A:D,4,0)</f>
        <v>130</v>
      </c>
      <c r="G30" s="176">
        <f t="shared" si="1"/>
        <v>130</v>
      </c>
      <c r="K30" s="881"/>
      <c r="L30" s="93"/>
      <c r="M30" s="92"/>
      <c r="N30" s="794"/>
      <c r="O30" s="675"/>
      <c r="P30" s="887"/>
      <c r="Q30" s="887"/>
    </row>
    <row r="31" spans="1:17" ht="15">
      <c r="A31" s="686">
        <v>17</v>
      </c>
      <c r="B31" s="173" t="s">
        <v>457</v>
      </c>
      <c r="C31" s="685">
        <v>7130210809</v>
      </c>
      <c r="D31" s="686" t="s">
        <v>456</v>
      </c>
      <c r="E31" s="686">
        <v>1</v>
      </c>
      <c r="F31" s="176">
        <f>VLOOKUP(C31,'SOR RATE'!A:D,4,0)</f>
        <v>290</v>
      </c>
      <c r="G31" s="176">
        <f t="shared" si="1"/>
        <v>290</v>
      </c>
      <c r="K31" s="881"/>
      <c r="L31" s="93"/>
      <c r="M31" s="92"/>
      <c r="N31" s="794"/>
      <c r="O31" s="675"/>
      <c r="P31" s="887"/>
      <c r="Q31" s="887"/>
    </row>
    <row r="32" spans="1:17" ht="19.5" customHeight="1">
      <c r="A32" s="686">
        <v>18</v>
      </c>
      <c r="B32" s="127" t="s">
        <v>781</v>
      </c>
      <c r="C32" s="685">
        <v>7130840029</v>
      </c>
      <c r="D32" s="686" t="s">
        <v>1553</v>
      </c>
      <c r="E32" s="686">
        <v>2</v>
      </c>
      <c r="F32" s="176">
        <f>VLOOKUP(C32,'SOR RATE'!A:D,4,0)</f>
        <v>425</v>
      </c>
      <c r="G32" s="176">
        <f t="shared" si="1"/>
        <v>850</v>
      </c>
      <c r="I32" s="1072" t="s">
        <v>1277</v>
      </c>
      <c r="K32" s="881"/>
      <c r="L32" s="93"/>
      <c r="M32" s="92"/>
      <c r="N32" s="794"/>
      <c r="O32" s="675"/>
      <c r="P32" s="887"/>
      <c r="Q32" s="887"/>
    </row>
    <row r="33" spans="1:17" ht="15">
      <c r="A33" s="1254">
        <v>19</v>
      </c>
      <c r="B33" s="127" t="s">
        <v>1359</v>
      </c>
      <c r="C33" s="685"/>
      <c r="D33" s="686" t="s">
        <v>458</v>
      </c>
      <c r="E33" s="128">
        <v>14</v>
      </c>
      <c r="F33" s="176"/>
      <c r="G33" s="176"/>
      <c r="I33" s="65"/>
      <c r="K33" s="881"/>
      <c r="L33" s="254"/>
      <c r="M33" s="92"/>
      <c r="N33" s="794"/>
      <c r="O33" s="899"/>
      <c r="P33" s="887"/>
      <c r="Q33" s="887"/>
    </row>
    <row r="34" spans="1:17" ht="16.5">
      <c r="A34" s="1255"/>
      <c r="B34" s="876" t="s">
        <v>438</v>
      </c>
      <c r="C34" s="685">
        <v>7130620609</v>
      </c>
      <c r="D34" s="686" t="s">
        <v>458</v>
      </c>
      <c r="E34" s="686">
        <v>1</v>
      </c>
      <c r="F34" s="176">
        <f>VLOOKUP(C34,'SOR RATE'!A:D,4,0)</f>
        <v>64</v>
      </c>
      <c r="G34" s="176">
        <f aca="true" t="shared" si="2" ref="G34:G40">F34*E34</f>
        <v>64</v>
      </c>
      <c r="I34" s="65"/>
      <c r="K34" s="881"/>
      <c r="L34" s="904"/>
      <c r="M34" s="92"/>
      <c r="N34" s="905"/>
      <c r="O34" s="675"/>
      <c r="P34" s="887"/>
      <c r="Q34" s="887"/>
    </row>
    <row r="35" spans="1:17" ht="16.5">
      <c r="A35" s="1255"/>
      <c r="B35" s="876" t="s">
        <v>1336</v>
      </c>
      <c r="C35" s="685">
        <v>7130620614</v>
      </c>
      <c r="D35" s="686" t="s">
        <v>458</v>
      </c>
      <c r="E35" s="686">
        <v>4</v>
      </c>
      <c r="F35" s="176">
        <f>VLOOKUP(C35,'SOR RATE'!A:D,4,0)</f>
        <v>63</v>
      </c>
      <c r="G35" s="176">
        <f t="shared" si="2"/>
        <v>252</v>
      </c>
      <c r="I35" s="65"/>
      <c r="K35" s="881"/>
      <c r="L35" s="904"/>
      <c r="M35" s="92"/>
      <c r="N35" s="905"/>
      <c r="O35" s="675"/>
      <c r="P35" s="887"/>
      <c r="Q35" s="887"/>
    </row>
    <row r="36" spans="1:17" ht="16.5">
      <c r="A36" s="1255"/>
      <c r="B36" s="876" t="s">
        <v>1338</v>
      </c>
      <c r="C36" s="685">
        <v>7130620625</v>
      </c>
      <c r="D36" s="686" t="s">
        <v>458</v>
      </c>
      <c r="E36" s="686">
        <v>4</v>
      </c>
      <c r="F36" s="176">
        <f>VLOOKUP(C36,'SOR RATE'!A:D,4,0)</f>
        <v>62</v>
      </c>
      <c r="G36" s="176">
        <f t="shared" si="2"/>
        <v>248</v>
      </c>
      <c r="I36" s="65"/>
      <c r="K36" s="881"/>
      <c r="L36" s="904"/>
      <c r="M36" s="92"/>
      <c r="N36" s="905"/>
      <c r="O36" s="675"/>
      <c r="P36" s="887"/>
      <c r="Q36" s="887"/>
    </row>
    <row r="37" spans="1:17" ht="16.5">
      <c r="A37" s="1256"/>
      <c r="B37" s="876" t="s">
        <v>1345</v>
      </c>
      <c r="C37" s="685">
        <v>7130620631</v>
      </c>
      <c r="D37" s="686" t="s">
        <v>458</v>
      </c>
      <c r="E37" s="686">
        <v>5</v>
      </c>
      <c r="F37" s="176">
        <f>VLOOKUP(C37,'SOR RATE'!A:D,4,0)</f>
        <v>62</v>
      </c>
      <c r="G37" s="176">
        <f t="shared" si="2"/>
        <v>310</v>
      </c>
      <c r="I37" s="65"/>
      <c r="K37" s="881"/>
      <c r="L37" s="904"/>
      <c r="M37" s="92"/>
      <c r="N37" s="905"/>
      <c r="O37" s="675"/>
      <c r="P37" s="887"/>
      <c r="Q37" s="887"/>
    </row>
    <row r="38" spans="1:17" ht="15">
      <c r="A38" s="686">
        <v>20</v>
      </c>
      <c r="B38" s="173" t="s">
        <v>474</v>
      </c>
      <c r="C38" s="685">
        <v>7131920253</v>
      </c>
      <c r="D38" s="686" t="s">
        <v>452</v>
      </c>
      <c r="E38" s="686">
        <v>1</v>
      </c>
      <c r="F38" s="176">
        <f>VLOOKUP(C38,'SOR RATE'!A:D,4,0)</f>
        <v>681</v>
      </c>
      <c r="G38" s="176">
        <f t="shared" si="2"/>
        <v>681</v>
      </c>
      <c r="I38" s="65"/>
      <c r="K38" s="881"/>
      <c r="L38" s="93"/>
      <c r="M38" s="92"/>
      <c r="N38" s="794"/>
      <c r="O38" s="675"/>
      <c r="P38" s="887"/>
      <c r="Q38" s="887"/>
    </row>
    <row r="39" spans="1:17" ht="19.5" customHeight="1">
      <c r="A39" s="686">
        <v>21</v>
      </c>
      <c r="B39" s="173" t="s">
        <v>475</v>
      </c>
      <c r="C39" s="711">
        <v>7130311008</v>
      </c>
      <c r="D39" s="171" t="s">
        <v>1368</v>
      </c>
      <c r="E39" s="686">
        <v>30</v>
      </c>
      <c r="F39" s="176">
        <f>VLOOKUP(C39,'SOR RATE'!A:D,4,0)/1000</f>
        <v>15.99</v>
      </c>
      <c r="G39" s="176">
        <f t="shared" si="2"/>
        <v>479.7</v>
      </c>
      <c r="I39" s="69"/>
      <c r="K39" s="881"/>
      <c r="L39" s="93"/>
      <c r="M39" s="93"/>
      <c r="N39" s="906"/>
      <c r="O39" s="675"/>
      <c r="P39" s="887"/>
      <c r="Q39" s="887"/>
    </row>
    <row r="40" spans="1:17" ht="33.75" customHeight="1">
      <c r="A40" s="128">
        <v>22</v>
      </c>
      <c r="B40" s="173" t="s">
        <v>840</v>
      </c>
      <c r="C40" s="711">
        <v>7131300500</v>
      </c>
      <c r="D40" s="2" t="s">
        <v>452</v>
      </c>
      <c r="E40" s="2">
        <v>1</v>
      </c>
      <c r="F40" s="176">
        <f>VLOOKUP(C40,'SOR RATE'!A:D,4,0)</f>
        <v>975</v>
      </c>
      <c r="G40" s="176">
        <f t="shared" si="2"/>
        <v>975</v>
      </c>
      <c r="I40" s="110"/>
      <c r="K40" s="907"/>
      <c r="L40" s="908"/>
      <c r="M40" s="909"/>
      <c r="N40" s="909"/>
      <c r="O40" s="909"/>
      <c r="P40" s="910"/>
      <c r="Q40" s="887"/>
    </row>
    <row r="41" spans="1:17" ht="18.75" customHeight="1">
      <c r="A41" s="17">
        <v>23</v>
      </c>
      <c r="B41" s="125" t="s">
        <v>1576</v>
      </c>
      <c r="C41" s="860"/>
      <c r="D41" s="114"/>
      <c r="E41" s="114"/>
      <c r="F41" s="687"/>
      <c r="G41" s="130">
        <f>SUM(G10:G40)</f>
        <v>71488.522</v>
      </c>
      <c r="H41" s="101"/>
      <c r="I41" s="91"/>
      <c r="K41" s="911"/>
      <c r="L41" s="908"/>
      <c r="M41" s="908"/>
      <c r="N41" s="908"/>
      <c r="O41" s="912"/>
      <c r="P41" s="910"/>
      <c r="Q41" s="913"/>
    </row>
    <row r="42" spans="1:17" ht="21" customHeight="1">
      <c r="A42" s="847">
        <v>24</v>
      </c>
      <c r="B42" s="119" t="s">
        <v>1575</v>
      </c>
      <c r="C42" s="706"/>
      <c r="D42" s="707"/>
      <c r="E42" s="707"/>
      <c r="F42" s="708">
        <v>0.09</v>
      </c>
      <c r="G42" s="696">
        <f>G41*F42</f>
        <v>6433.966979999999</v>
      </c>
      <c r="H42" s="101"/>
      <c r="I42" s="97"/>
      <c r="K42" s="907"/>
      <c r="L42" s="908"/>
      <c r="M42" s="914"/>
      <c r="N42" s="915"/>
      <c r="O42" s="111"/>
      <c r="P42" s="915"/>
      <c r="Q42" s="916"/>
    </row>
    <row r="43" spans="1:17" ht="21.75" customHeight="1">
      <c r="A43" s="847">
        <v>25</v>
      </c>
      <c r="B43" s="173" t="s">
        <v>316</v>
      </c>
      <c r="C43" s="711"/>
      <c r="D43" s="171" t="s">
        <v>452</v>
      </c>
      <c r="E43" s="709">
        <v>3</v>
      </c>
      <c r="F43" s="3">
        <f>132*1.11*1.0891*1.086275*1.1112*1.0685</f>
        <v>205.81224590423886</v>
      </c>
      <c r="G43" s="696">
        <f>E43*F43</f>
        <v>617.4367377127166</v>
      </c>
      <c r="H43" s="102"/>
      <c r="I43" s="710"/>
      <c r="K43" s="907"/>
      <c r="L43" s="908"/>
      <c r="M43" s="914"/>
      <c r="N43" s="915"/>
      <c r="O43" s="111"/>
      <c r="P43" s="915"/>
      <c r="Q43" s="916"/>
    </row>
    <row r="44" spans="1:17" ht="20.25" customHeight="1">
      <c r="A44" s="128">
        <v>26</v>
      </c>
      <c r="B44" s="698" t="s">
        <v>1372</v>
      </c>
      <c r="C44" s="712"/>
      <c r="D44" s="171" t="s">
        <v>454</v>
      </c>
      <c r="E44" s="171">
        <v>1.85</v>
      </c>
      <c r="F44" s="172">
        <f>1664*1.27*1.0891*1.086275*1.1112*1.0685</f>
        <v>2968.460981603261</v>
      </c>
      <c r="G44" s="172">
        <f>F44*E44</f>
        <v>5491.652815966034</v>
      </c>
      <c r="K44" s="907"/>
      <c r="L44" s="902"/>
      <c r="M44" s="917"/>
      <c r="N44" s="906"/>
      <c r="O44" s="918"/>
      <c r="P44" s="919"/>
      <c r="Q44" s="919"/>
    </row>
    <row r="45" spans="1:17" ht="21" customHeight="1">
      <c r="A45" s="128">
        <v>27</v>
      </c>
      <c r="B45" s="698" t="s">
        <v>395</v>
      </c>
      <c r="C45" s="712"/>
      <c r="D45" s="171" t="s">
        <v>452</v>
      </c>
      <c r="E45" s="171">
        <v>1</v>
      </c>
      <c r="F45" s="172">
        <f>3075*1.27*1.0891*1.086275*1.1112*1.0685</f>
        <v>5485.587450979585</v>
      </c>
      <c r="G45" s="172">
        <f>F45*E45</f>
        <v>5485.587450979585</v>
      </c>
      <c r="K45" s="907"/>
      <c r="L45" s="902"/>
      <c r="M45" s="917"/>
      <c r="N45" s="906"/>
      <c r="O45" s="918"/>
      <c r="P45" s="919"/>
      <c r="Q45" s="919"/>
    </row>
    <row r="46" spans="1:17" ht="18" customHeight="1">
      <c r="A46" s="128">
        <v>28</v>
      </c>
      <c r="B46" s="173" t="s">
        <v>542</v>
      </c>
      <c r="C46" s="685"/>
      <c r="D46" s="686"/>
      <c r="E46" s="686"/>
      <c r="F46" s="686"/>
      <c r="G46" s="176">
        <v>7965.45</v>
      </c>
      <c r="H46" s="35"/>
      <c r="K46" s="907"/>
      <c r="L46" s="93"/>
      <c r="M46" s="92"/>
      <c r="N46" s="794"/>
      <c r="O46" s="675"/>
      <c r="P46" s="881"/>
      <c r="Q46" s="887"/>
    </row>
    <row r="47" spans="1:17" ht="36" customHeight="1">
      <c r="A47" s="128">
        <v>29</v>
      </c>
      <c r="B47" s="173" t="s">
        <v>1119</v>
      </c>
      <c r="C47" s="712"/>
      <c r="D47" s="686"/>
      <c r="E47" s="686"/>
      <c r="F47" s="686"/>
      <c r="G47" s="176">
        <f>1.1*1.1*2363*1.2*1.1*1.1797*1.1402*0.9368</f>
        <v>4755.7883787147575</v>
      </c>
      <c r="K47" s="907"/>
      <c r="L47" s="93"/>
      <c r="M47" s="917"/>
      <c r="N47" s="890"/>
      <c r="O47" s="675"/>
      <c r="P47" s="890"/>
      <c r="Q47" s="920"/>
    </row>
    <row r="48" spans="1:17" ht="20.25" customHeight="1">
      <c r="A48" s="17">
        <v>30</v>
      </c>
      <c r="B48" s="125" t="s">
        <v>1577</v>
      </c>
      <c r="C48" s="712"/>
      <c r="D48" s="686"/>
      <c r="E48" s="686"/>
      <c r="F48" s="686"/>
      <c r="G48" s="130">
        <f>G41+G42+G43+G44+G45+G46+G47</f>
        <v>102238.40436337309</v>
      </c>
      <c r="H48" s="102"/>
      <c r="K48" s="907"/>
      <c r="L48" s="93"/>
      <c r="M48" s="917"/>
      <c r="N48" s="890"/>
      <c r="O48" s="675"/>
      <c r="P48" s="890"/>
      <c r="Q48" s="920"/>
    </row>
    <row r="49" spans="1:17" ht="36.75" customHeight="1">
      <c r="A49" s="128">
        <v>31</v>
      </c>
      <c r="B49" s="119" t="s">
        <v>1578</v>
      </c>
      <c r="C49" s="712"/>
      <c r="D49" s="686"/>
      <c r="E49" s="686"/>
      <c r="F49" s="686">
        <v>0.11</v>
      </c>
      <c r="G49" s="176">
        <f>G41*F49</f>
        <v>7863.7374199999995</v>
      </c>
      <c r="H49" s="102"/>
      <c r="K49" s="907"/>
      <c r="L49" s="93"/>
      <c r="M49" s="917"/>
      <c r="N49" s="890"/>
      <c r="O49" s="675"/>
      <c r="P49" s="890"/>
      <c r="Q49" s="920"/>
    </row>
    <row r="50" spans="1:17" ht="19.5" customHeight="1">
      <c r="A50" s="128">
        <v>32</v>
      </c>
      <c r="B50" s="127" t="s">
        <v>1395</v>
      </c>
      <c r="C50" s="204"/>
      <c r="D50" s="204"/>
      <c r="E50" s="204"/>
      <c r="F50" s="204"/>
      <c r="G50" s="696">
        <f>G48+G49</f>
        <v>110102.1417833731</v>
      </c>
      <c r="K50" s="907"/>
      <c r="L50" s="254"/>
      <c r="M50" s="65"/>
      <c r="N50" s="65"/>
      <c r="O50" s="65"/>
      <c r="P50" s="65"/>
      <c r="Q50" s="921"/>
    </row>
    <row r="51" spans="1:17" ht="21" customHeight="1">
      <c r="A51" s="17">
        <v>33</v>
      </c>
      <c r="B51" s="132" t="s">
        <v>543</v>
      </c>
      <c r="C51" s="204"/>
      <c r="D51" s="204"/>
      <c r="E51" s="204"/>
      <c r="F51" s="204"/>
      <c r="G51" s="4">
        <f>ROUND(G50,0)</f>
        <v>110102</v>
      </c>
      <c r="K51" s="907"/>
      <c r="L51" s="750"/>
      <c r="M51" s="65"/>
      <c r="N51" s="65"/>
      <c r="O51" s="65"/>
      <c r="P51" s="65"/>
      <c r="Q51" s="922"/>
    </row>
    <row r="52" spans="11:17" ht="12.75">
      <c r="K52" s="65"/>
      <c r="L52" s="65"/>
      <c r="M52" s="65"/>
      <c r="N52" s="65"/>
      <c r="O52" s="65"/>
      <c r="P52" s="65"/>
      <c r="Q52" s="65"/>
    </row>
    <row r="53" spans="2:17" ht="15" customHeight="1">
      <c r="B53" s="1313" t="s">
        <v>841</v>
      </c>
      <c r="C53" s="1313"/>
      <c r="D53" s="1313"/>
      <c r="E53" s="1313"/>
      <c r="F53" s="93"/>
      <c r="G53" s="93"/>
      <c r="K53" s="65"/>
      <c r="L53" s="93"/>
      <c r="M53" s="93"/>
      <c r="N53" s="93"/>
      <c r="O53" s="93"/>
      <c r="P53" s="93"/>
      <c r="Q53" s="93"/>
    </row>
    <row r="54" spans="11:17" ht="12.75">
      <c r="K54" s="65"/>
      <c r="L54" s="65"/>
      <c r="M54" s="65"/>
      <c r="N54" s="65"/>
      <c r="O54" s="65"/>
      <c r="P54" s="65"/>
      <c r="Q54" s="65"/>
    </row>
  </sheetData>
  <sheetProtection/>
  <mergeCells count="12">
    <mergeCell ref="A26:A28"/>
    <mergeCell ref="A33:A37"/>
    <mergeCell ref="B53:E53"/>
    <mergeCell ref="B1:D1"/>
    <mergeCell ref="B3:F3"/>
    <mergeCell ref="A7:A8"/>
    <mergeCell ref="B7:B8"/>
    <mergeCell ref="C7:C8"/>
    <mergeCell ref="D7:D8"/>
    <mergeCell ref="E7:G7"/>
    <mergeCell ref="A18:A20"/>
    <mergeCell ref="A21:A22"/>
  </mergeCells>
  <conditionalFormatting sqref="B41:B43">
    <cfRule type="cellIs" priority="1" dxfId="0" operator="equal" stopIfTrue="1">
      <formula>"?"</formula>
    </cfRule>
  </conditionalFormatting>
  <printOptions horizontalCentered="1"/>
  <pageMargins left="0.7" right="0.15" top="0.58" bottom="0.26" header="0.29" footer="0.16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J46"/>
  <sheetViews>
    <sheetView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4.7109375" style="1" customWidth="1"/>
    <col min="2" max="2" width="50.57421875" style="1" bestFit="1" customWidth="1"/>
    <col min="3" max="3" width="13.00390625" style="1" customWidth="1"/>
    <col min="4" max="4" width="5.57421875" style="1" customWidth="1"/>
    <col min="5" max="5" width="10.140625" style="1" customWidth="1"/>
    <col min="6" max="6" width="5.7109375" style="1" customWidth="1"/>
    <col min="7" max="7" width="12.00390625" style="1" customWidth="1"/>
    <col min="8" max="8" width="11.7109375" style="1" customWidth="1"/>
    <col min="9" max="9" width="12.00390625" style="1" customWidth="1"/>
    <col min="10" max="10" width="14.00390625" style="1" customWidth="1"/>
    <col min="11" max="11" width="12.8515625" style="1" customWidth="1"/>
    <col min="12" max="12" width="11.8515625" style="1" customWidth="1"/>
    <col min="13" max="16384" width="9.140625" style="1" customWidth="1"/>
  </cols>
  <sheetData>
    <row r="1" spans="1:8" ht="18">
      <c r="A1" s="37"/>
      <c r="B1" s="1153" t="s">
        <v>686</v>
      </c>
      <c r="C1" s="1153"/>
      <c r="D1" s="37"/>
      <c r="E1" s="37"/>
      <c r="F1" s="37"/>
      <c r="G1" s="37"/>
      <c r="H1" s="37"/>
    </row>
    <row r="2" spans="7:8" ht="13.5" customHeight="1">
      <c r="G2" s="39"/>
      <c r="H2" s="39"/>
    </row>
    <row r="3" spans="2:8" ht="51.75" customHeight="1">
      <c r="B3" s="1164" t="s">
        <v>687</v>
      </c>
      <c r="C3" s="1164"/>
      <c r="D3" s="1164"/>
      <c r="E3" s="1164"/>
      <c r="F3" s="1164"/>
      <c r="G3" s="39"/>
      <c r="H3" s="39"/>
    </row>
    <row r="4" spans="1:8" ht="13.5" customHeight="1">
      <c r="A4" s="74"/>
      <c r="B4" s="74"/>
      <c r="C4" s="74"/>
      <c r="D4" s="74"/>
      <c r="E4" s="74"/>
      <c r="F4" s="74"/>
      <c r="G4" s="74"/>
      <c r="H4" s="74"/>
    </row>
    <row r="5" spans="1:8" ht="15.75">
      <c r="A5" s="65"/>
      <c r="B5" s="65"/>
      <c r="C5" s="65"/>
      <c r="D5" s="65"/>
      <c r="E5" s="65"/>
      <c r="F5" s="65"/>
      <c r="G5" s="112" t="s">
        <v>551</v>
      </c>
      <c r="H5" s="34"/>
    </row>
    <row r="6" spans="1:8" ht="15.75">
      <c r="A6" s="65"/>
      <c r="B6" s="65"/>
      <c r="C6" s="65"/>
      <c r="D6" s="65"/>
      <c r="E6" s="65"/>
      <c r="F6" s="65"/>
      <c r="G6" s="34"/>
      <c r="H6" s="34"/>
    </row>
    <row r="7" spans="1:8" ht="15.75">
      <c r="A7" s="1231" t="s">
        <v>1335</v>
      </c>
      <c r="B7" s="1315" t="s">
        <v>449</v>
      </c>
      <c r="C7" s="1317" t="s">
        <v>1371</v>
      </c>
      <c r="D7" s="1315" t="s">
        <v>450</v>
      </c>
      <c r="E7" s="1315" t="s">
        <v>799</v>
      </c>
      <c r="F7" s="1269" t="s">
        <v>1315</v>
      </c>
      <c r="G7" s="1269" t="s">
        <v>800</v>
      </c>
      <c r="H7" s="34"/>
    </row>
    <row r="8" spans="1:8" ht="15.75">
      <c r="A8" s="1232"/>
      <c r="B8" s="1316"/>
      <c r="C8" s="1318"/>
      <c r="D8" s="1316"/>
      <c r="E8" s="1316"/>
      <c r="F8" s="1269"/>
      <c r="G8" s="1269"/>
      <c r="H8" s="34"/>
    </row>
    <row r="9" spans="1:8" ht="15.7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34"/>
    </row>
    <row r="10" spans="1:8" ht="15.75">
      <c r="A10" s="183">
        <v>1</v>
      </c>
      <c r="B10" s="184" t="s">
        <v>1316</v>
      </c>
      <c r="C10" s="185">
        <v>7132461004</v>
      </c>
      <c r="D10" s="183" t="s">
        <v>1368</v>
      </c>
      <c r="E10" s="137">
        <f>VLOOKUP(C10,'SOR RATE'!A:D,4,0)</f>
        <v>1020</v>
      </c>
      <c r="F10" s="183">
        <v>120</v>
      </c>
      <c r="G10" s="186">
        <f aca="true" t="shared" si="0" ref="G10:G19">F10*E10</f>
        <v>122400</v>
      </c>
      <c r="H10" s="34"/>
    </row>
    <row r="11" spans="1:8" ht="15.75">
      <c r="A11" s="183">
        <v>2</v>
      </c>
      <c r="B11" s="184" t="s">
        <v>1317</v>
      </c>
      <c r="C11" s="185">
        <v>7132461005</v>
      </c>
      <c r="D11" s="183" t="s">
        <v>452</v>
      </c>
      <c r="E11" s="137">
        <f>VLOOKUP(C11,'SOR RATE'!A:D,4,0)</f>
        <v>371</v>
      </c>
      <c r="F11" s="183">
        <v>38</v>
      </c>
      <c r="G11" s="186">
        <f t="shared" si="0"/>
        <v>14098</v>
      </c>
      <c r="H11" s="34"/>
    </row>
    <row r="12" spans="1:8" ht="15.75">
      <c r="A12" s="183">
        <v>3</v>
      </c>
      <c r="B12" s="187" t="s">
        <v>688</v>
      </c>
      <c r="C12" s="188">
        <v>7130310079</v>
      </c>
      <c r="D12" s="183" t="s">
        <v>1368</v>
      </c>
      <c r="E12" s="137">
        <f>VLOOKUP(C12,'SOR RATE'!A:D,4,0)/1000</f>
        <v>939.613</v>
      </c>
      <c r="F12" s="183">
        <v>160</v>
      </c>
      <c r="G12" s="186">
        <f t="shared" si="0"/>
        <v>150338.08000000002</v>
      </c>
      <c r="H12" s="34"/>
    </row>
    <row r="13" spans="1:8" ht="17.25" customHeight="1">
      <c r="A13" s="135">
        <v>4</v>
      </c>
      <c r="B13" s="189" t="s">
        <v>1547</v>
      </c>
      <c r="C13" s="190">
        <v>7130352041</v>
      </c>
      <c r="D13" s="135" t="s">
        <v>802</v>
      </c>
      <c r="E13" s="137">
        <f>VLOOKUP(C13,'SOR RATE'!A:D,4,0)</f>
        <v>10751</v>
      </c>
      <c r="F13" s="135">
        <v>4</v>
      </c>
      <c r="G13" s="137">
        <f t="shared" si="0"/>
        <v>43004</v>
      </c>
      <c r="H13" s="34"/>
    </row>
    <row r="14" spans="1:8" ht="15.75">
      <c r="A14" s="252">
        <v>5</v>
      </c>
      <c r="B14" s="184" t="s">
        <v>1318</v>
      </c>
      <c r="C14" s="188">
        <v>7130640027</v>
      </c>
      <c r="D14" s="135" t="s">
        <v>1060</v>
      </c>
      <c r="E14" s="137">
        <f>VLOOKUP(C14,'SOR RATE'!A:D,4,0)</f>
        <v>929</v>
      </c>
      <c r="F14" s="135">
        <v>12</v>
      </c>
      <c r="G14" s="137">
        <f t="shared" si="0"/>
        <v>11148</v>
      </c>
      <c r="H14" s="34"/>
    </row>
    <row r="15" spans="1:8" ht="15.75">
      <c r="A15" s="252">
        <v>6</v>
      </c>
      <c r="B15" s="184" t="s">
        <v>445</v>
      </c>
      <c r="C15" s="188">
        <v>7130640028</v>
      </c>
      <c r="D15" s="135" t="s">
        <v>452</v>
      </c>
      <c r="E15" s="137">
        <f>VLOOKUP(C15,'SOR RATE'!A:D,4,0)</f>
        <v>805</v>
      </c>
      <c r="F15" s="135">
        <v>4</v>
      </c>
      <c r="G15" s="137">
        <f t="shared" si="0"/>
        <v>3220</v>
      </c>
      <c r="H15" s="34"/>
    </row>
    <row r="16" spans="1:8" ht="28.5">
      <c r="A16" s="252">
        <v>7</v>
      </c>
      <c r="B16" s="184" t="s">
        <v>1319</v>
      </c>
      <c r="C16" s="190">
        <v>7130640029</v>
      </c>
      <c r="D16" s="135" t="s">
        <v>454</v>
      </c>
      <c r="E16" s="137">
        <f>VLOOKUP(C16,'SOR RATE'!A:D,4,0)</f>
        <v>3220</v>
      </c>
      <c r="F16" s="135">
        <v>4</v>
      </c>
      <c r="G16" s="137">
        <f t="shared" si="0"/>
        <v>12880</v>
      </c>
      <c r="H16" s="34"/>
    </row>
    <row r="17" spans="1:8" ht="15.75">
      <c r="A17" s="252">
        <v>8</v>
      </c>
      <c r="B17" s="184" t="s">
        <v>552</v>
      </c>
      <c r="C17" s="135">
        <v>7130600173</v>
      </c>
      <c r="D17" s="135" t="s">
        <v>1369</v>
      </c>
      <c r="E17" s="137">
        <f>VLOOKUP(C17,'SOR RATE'!A:D,4,0)/1000</f>
        <v>40.214</v>
      </c>
      <c r="F17" s="135">
        <v>100</v>
      </c>
      <c r="G17" s="137">
        <f t="shared" si="0"/>
        <v>4021.3999999999996</v>
      </c>
      <c r="H17" s="34"/>
    </row>
    <row r="18" spans="1:8" ht="15.75">
      <c r="A18" s="252">
        <v>9</v>
      </c>
      <c r="B18" s="184" t="s">
        <v>1546</v>
      </c>
      <c r="C18" s="188">
        <v>7130880006</v>
      </c>
      <c r="D18" s="135" t="s">
        <v>803</v>
      </c>
      <c r="E18" s="137">
        <f>VLOOKUP(C18,'SOR RATE'!A:D,4,0)</f>
        <v>113</v>
      </c>
      <c r="F18" s="135">
        <v>4</v>
      </c>
      <c r="G18" s="137">
        <f t="shared" si="0"/>
        <v>452</v>
      </c>
      <c r="H18" s="34"/>
    </row>
    <row r="19" spans="1:8" ht="42.75">
      <c r="A19" s="252">
        <v>10</v>
      </c>
      <c r="B19" s="184" t="s">
        <v>689</v>
      </c>
      <c r="C19" s="190">
        <v>7130642039</v>
      </c>
      <c r="D19" s="135" t="s">
        <v>452</v>
      </c>
      <c r="E19" s="137">
        <f>VLOOKUP(C19,'SOR RATE'!A:D,4,0)</f>
        <v>820</v>
      </c>
      <c r="F19" s="135">
        <v>4</v>
      </c>
      <c r="G19" s="137">
        <f t="shared" si="0"/>
        <v>3280</v>
      </c>
      <c r="H19" s="34"/>
    </row>
    <row r="20" spans="1:8" ht="15.75">
      <c r="A20" s="252">
        <v>11</v>
      </c>
      <c r="B20" s="184" t="s">
        <v>903</v>
      </c>
      <c r="C20" s="191"/>
      <c r="D20" s="183" t="s">
        <v>439</v>
      </c>
      <c r="E20" s="137" t="s">
        <v>439</v>
      </c>
      <c r="F20" s="183" t="s">
        <v>439</v>
      </c>
      <c r="G20" s="186">
        <f>1.1*2000</f>
        <v>2200</v>
      </c>
      <c r="H20" s="34"/>
    </row>
    <row r="21" spans="1:9" ht="15">
      <c r="A21" s="22">
        <v>12</v>
      </c>
      <c r="B21" s="147" t="s">
        <v>1576</v>
      </c>
      <c r="C21" s="193"/>
      <c r="D21" s="194"/>
      <c r="E21" s="22"/>
      <c r="F21" s="22"/>
      <c r="G21" s="202">
        <f>SUM(G10:G20)</f>
        <v>367041.48000000004</v>
      </c>
      <c r="H21" s="103"/>
      <c r="I21" s="98"/>
    </row>
    <row r="22" spans="1:9" ht="18" customHeight="1">
      <c r="A22" s="227">
        <v>13</v>
      </c>
      <c r="B22" s="139" t="s">
        <v>1575</v>
      </c>
      <c r="C22" s="255"/>
      <c r="D22" s="196"/>
      <c r="E22" s="136">
        <v>0.09</v>
      </c>
      <c r="F22" s="136"/>
      <c r="G22" s="138">
        <f>G21*E22</f>
        <v>33033.7332</v>
      </c>
      <c r="H22" s="103"/>
      <c r="I22" s="99"/>
    </row>
    <row r="23" spans="1:10" ht="15.75">
      <c r="A23" s="150">
        <v>14</v>
      </c>
      <c r="B23" s="197" t="s">
        <v>448</v>
      </c>
      <c r="C23" s="197"/>
      <c r="D23" s="197"/>
      <c r="E23" s="135"/>
      <c r="F23" s="135"/>
      <c r="G23" s="138">
        <v>1393425.33</v>
      </c>
      <c r="H23" s="35"/>
      <c r="J23" s="98"/>
    </row>
    <row r="24" spans="1:8" ht="15.75">
      <c r="A24" s="150">
        <v>15</v>
      </c>
      <c r="B24" s="197" t="s">
        <v>446</v>
      </c>
      <c r="C24" s="197"/>
      <c r="D24" s="197"/>
      <c r="E24" s="135"/>
      <c r="F24" s="135"/>
      <c r="G24" s="138">
        <f>1.1*50000*1.1797*1.1402*0.9368</f>
        <v>69304.62016456001</v>
      </c>
      <c r="H24" s="34"/>
    </row>
    <row r="25" spans="1:8" ht="15">
      <c r="A25" s="40">
        <v>16</v>
      </c>
      <c r="B25" s="147" t="s">
        <v>1577</v>
      </c>
      <c r="C25" s="197"/>
      <c r="D25" s="197"/>
      <c r="E25" s="135"/>
      <c r="F25" s="135"/>
      <c r="G25" s="148">
        <f>G21+G22+G23+G24</f>
        <v>1862805.16336456</v>
      </c>
      <c r="H25" s="104"/>
    </row>
    <row r="26" spans="1:8" ht="28.5">
      <c r="A26" s="59">
        <v>17</v>
      </c>
      <c r="B26" s="139" t="s">
        <v>1578</v>
      </c>
      <c r="C26" s="197"/>
      <c r="D26" s="197"/>
      <c r="E26" s="135">
        <v>0.11</v>
      </c>
      <c r="F26" s="135"/>
      <c r="G26" s="138">
        <f>G21*E26</f>
        <v>40374.56280000001</v>
      </c>
      <c r="H26" s="104"/>
    </row>
    <row r="27" spans="1:8" ht="28.5">
      <c r="A27" s="136">
        <v>18</v>
      </c>
      <c r="B27" s="189" t="s">
        <v>553</v>
      </c>
      <c r="C27" s="199">
        <v>0.15</v>
      </c>
      <c r="D27" s="189"/>
      <c r="E27" s="135"/>
      <c r="F27" s="135"/>
      <c r="G27" s="138">
        <f>G25*0.15</f>
        <v>279420.774504684</v>
      </c>
      <c r="H27" s="34"/>
    </row>
    <row r="28" spans="1:8" ht="15.75">
      <c r="A28" s="150">
        <v>19</v>
      </c>
      <c r="B28" s="197" t="s">
        <v>690</v>
      </c>
      <c r="C28" s="197"/>
      <c r="D28" s="197"/>
      <c r="E28" s="135"/>
      <c r="F28" s="135"/>
      <c r="G28" s="138">
        <f>G25+G26+G27</f>
        <v>2182600.500669244</v>
      </c>
      <c r="H28" s="34"/>
    </row>
    <row r="29" spans="1:8" ht="30">
      <c r="A29" s="59">
        <v>20</v>
      </c>
      <c r="B29" s="200" t="s">
        <v>691</v>
      </c>
      <c r="C29" s="197"/>
      <c r="D29" s="197"/>
      <c r="E29" s="135"/>
      <c r="F29" s="135"/>
      <c r="G29" s="148">
        <f>ROUND(G28,0)</f>
        <v>2182601</v>
      </c>
      <c r="H29" s="34"/>
    </row>
    <row r="30" spans="1:8" ht="15.75">
      <c r="A30" s="65"/>
      <c r="B30" s="65"/>
      <c r="C30" s="65"/>
      <c r="D30" s="65"/>
      <c r="E30" s="65"/>
      <c r="F30" s="65"/>
      <c r="G30" s="34"/>
      <c r="H30" s="34"/>
    </row>
    <row r="31" spans="1:8" ht="15.75">
      <c r="A31" s="65"/>
      <c r="C31" s="65"/>
      <c r="D31" s="65"/>
      <c r="E31" s="65"/>
      <c r="F31" s="65"/>
      <c r="G31" s="34"/>
      <c r="H31" s="34"/>
    </row>
    <row r="32" spans="1:8" ht="15.75">
      <c r="A32" s="65"/>
      <c r="B32" s="65"/>
      <c r="C32" s="65"/>
      <c r="D32" s="65"/>
      <c r="E32" s="65"/>
      <c r="F32" s="65"/>
      <c r="G32" s="34"/>
      <c r="H32" s="34"/>
    </row>
    <row r="33" spans="1:8" ht="15.75">
      <c r="A33" s="65"/>
      <c r="B33" s="65"/>
      <c r="C33" s="65"/>
      <c r="D33" s="65"/>
      <c r="E33" s="65"/>
      <c r="F33" s="65"/>
      <c r="G33" s="34"/>
      <c r="H33" s="34"/>
    </row>
    <row r="34" spans="1:8" ht="15.75">
      <c r="A34" s="65"/>
      <c r="B34" s="65"/>
      <c r="C34" s="65"/>
      <c r="D34" s="65"/>
      <c r="E34" s="65"/>
      <c r="F34" s="65"/>
      <c r="G34" s="34"/>
      <c r="H34" s="34"/>
    </row>
    <row r="35" spans="1:8" ht="15.75">
      <c r="A35" s="65"/>
      <c r="B35" s="65"/>
      <c r="C35" s="65"/>
      <c r="D35" s="65"/>
      <c r="E35" s="65"/>
      <c r="F35" s="65"/>
      <c r="G35" s="34"/>
      <c r="H35" s="34"/>
    </row>
    <row r="36" spans="1:8" ht="15.75">
      <c r="A36" s="65"/>
      <c r="B36" s="65"/>
      <c r="C36" s="65"/>
      <c r="D36" s="65"/>
      <c r="E36" s="65"/>
      <c r="F36" s="65"/>
      <c r="G36" s="34"/>
      <c r="H36" s="34"/>
    </row>
    <row r="37" spans="1:8" ht="15.75">
      <c r="A37" s="65"/>
      <c r="B37" s="65"/>
      <c r="C37" s="65"/>
      <c r="D37" s="65"/>
      <c r="E37" s="65"/>
      <c r="F37" s="65"/>
      <c r="G37" s="34"/>
      <c r="H37" s="34"/>
    </row>
    <row r="38" spans="1:8" ht="15.75">
      <c r="A38" s="65"/>
      <c r="B38" s="65"/>
      <c r="C38" s="65"/>
      <c r="D38" s="65"/>
      <c r="E38" s="65"/>
      <c r="F38" s="65"/>
      <c r="G38" s="34"/>
      <c r="H38" s="34"/>
    </row>
    <row r="39" spans="1:8" ht="15.75">
      <c r="A39" s="65"/>
      <c r="B39" s="65"/>
      <c r="C39" s="65"/>
      <c r="D39" s="65"/>
      <c r="E39" s="65"/>
      <c r="F39" s="65"/>
      <c r="G39" s="34"/>
      <c r="H39" s="34"/>
    </row>
    <row r="40" spans="1:8" ht="15.75">
      <c r="A40" s="65"/>
      <c r="B40" s="65"/>
      <c r="C40" s="65"/>
      <c r="D40" s="65"/>
      <c r="E40" s="65"/>
      <c r="F40" s="65"/>
      <c r="G40" s="34"/>
      <c r="H40" s="34"/>
    </row>
    <row r="41" spans="1:8" ht="15.75">
      <c r="A41" s="65"/>
      <c r="B41" s="65"/>
      <c r="C41" s="65"/>
      <c r="D41" s="65"/>
      <c r="E41" s="65"/>
      <c r="F41" s="65"/>
      <c r="G41" s="34"/>
      <c r="H41" s="34"/>
    </row>
    <row r="42" spans="1:8" ht="15.75">
      <c r="A42" s="65"/>
      <c r="B42" s="65"/>
      <c r="C42" s="65"/>
      <c r="D42" s="65"/>
      <c r="E42" s="65"/>
      <c r="F42" s="65"/>
      <c r="G42" s="34"/>
      <c r="H42" s="34"/>
    </row>
    <row r="43" spans="1:8" ht="15.75">
      <c r="A43" s="65"/>
      <c r="B43" s="65"/>
      <c r="C43" s="65"/>
      <c r="D43" s="65"/>
      <c r="E43" s="65"/>
      <c r="F43" s="65"/>
      <c r="G43" s="34"/>
      <c r="H43" s="34"/>
    </row>
    <row r="44" spans="1:8" ht="15.75">
      <c r="A44" s="65"/>
      <c r="B44" s="65"/>
      <c r="C44" s="65"/>
      <c r="D44" s="65"/>
      <c r="E44" s="65"/>
      <c r="F44" s="65"/>
      <c r="G44" s="34"/>
      <c r="H44" s="34"/>
    </row>
    <row r="45" spans="1:8" ht="15.75">
      <c r="A45" s="65"/>
      <c r="B45" s="65"/>
      <c r="C45" s="65"/>
      <c r="D45" s="65"/>
      <c r="E45" s="65"/>
      <c r="F45" s="65"/>
      <c r="G45" s="34"/>
      <c r="H45" s="34"/>
    </row>
    <row r="46" spans="1:8" ht="15.75">
      <c r="A46" s="65"/>
      <c r="B46" s="65"/>
      <c r="C46" s="65"/>
      <c r="D46" s="65"/>
      <c r="E46" s="65"/>
      <c r="F46" s="65"/>
      <c r="G46" s="34"/>
      <c r="H46" s="34"/>
    </row>
  </sheetData>
  <sheetProtection/>
  <mergeCells count="9">
    <mergeCell ref="G7:G8"/>
    <mergeCell ref="B1:C1"/>
    <mergeCell ref="B3:F3"/>
    <mergeCell ref="A7:A8"/>
    <mergeCell ref="B7:B8"/>
    <mergeCell ref="C7:C8"/>
    <mergeCell ref="D7:D8"/>
    <mergeCell ref="E7:E8"/>
    <mergeCell ref="F7:F8"/>
  </mergeCells>
  <conditionalFormatting sqref="B21:B22">
    <cfRule type="cellIs" priority="1" dxfId="0" operator="equal" stopIfTrue="1">
      <formula>"?"</formula>
    </cfRule>
  </conditionalFormatting>
  <printOptions horizontalCentered="1"/>
  <pageMargins left="0.46" right="0.16" top="0.74" bottom="1" header="0.42" footer="0.5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P39"/>
  <sheetViews>
    <sheetView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4.28125" style="1" customWidth="1"/>
    <col min="2" max="2" width="49.421875" style="1" customWidth="1"/>
    <col min="3" max="3" width="12.421875" style="1" bestFit="1" customWidth="1"/>
    <col min="4" max="4" width="6.140625" style="1" customWidth="1"/>
    <col min="5" max="5" width="9.7109375" style="1" customWidth="1"/>
    <col min="6" max="6" width="6.28125" style="1" bestFit="1" customWidth="1"/>
    <col min="7" max="7" width="11.57421875" style="1" customWidth="1"/>
    <col min="8" max="8" width="13.8515625" style="1" customWidth="1"/>
    <col min="9" max="9" width="15.57421875" style="1" customWidth="1"/>
    <col min="10" max="10" width="14.8515625" style="1" customWidth="1"/>
    <col min="11" max="11" width="14.57421875" style="1" customWidth="1"/>
    <col min="12" max="16384" width="9.140625" style="1" customWidth="1"/>
  </cols>
  <sheetData>
    <row r="1" spans="2:7" ht="20.25">
      <c r="B1" s="1197" t="s">
        <v>692</v>
      </c>
      <c r="C1" s="1197"/>
      <c r="D1" s="49"/>
      <c r="E1" s="49"/>
      <c r="F1" s="49"/>
      <c r="G1" s="49"/>
    </row>
    <row r="2" ht="15">
      <c r="A2" s="790"/>
    </row>
    <row r="3" spans="1:7" ht="34.5" customHeight="1">
      <c r="A3" s="790"/>
      <c r="B3" s="1156" t="s">
        <v>693</v>
      </c>
      <c r="C3" s="1156"/>
      <c r="D3" s="1156"/>
      <c r="E3" s="1156"/>
      <c r="F3" s="1156"/>
      <c r="G3" s="23"/>
    </row>
    <row r="4" spans="1:7" ht="15">
      <c r="A4" s="790"/>
      <c r="B4" s="21"/>
      <c r="C4" s="21"/>
      <c r="D4" s="21"/>
      <c r="E4" s="21"/>
      <c r="F4" s="21"/>
      <c r="G4" s="23"/>
    </row>
    <row r="5" spans="1:10" ht="15">
      <c r="A5" s="790"/>
      <c r="B5" s="790"/>
      <c r="C5" s="790"/>
      <c r="D5" s="790"/>
      <c r="E5" s="790"/>
      <c r="F5" s="790"/>
      <c r="G5" s="999" t="s">
        <v>551</v>
      </c>
      <c r="J5" s="923"/>
    </row>
    <row r="6" spans="1:7" ht="15">
      <c r="A6" s="790"/>
      <c r="B6" s="924"/>
      <c r="C6" s="924"/>
      <c r="D6" s="924"/>
      <c r="E6" s="924"/>
      <c r="F6" s="924"/>
      <c r="G6" s="924"/>
    </row>
    <row r="7" spans="1:7" ht="37.5" customHeight="1">
      <c r="A7" s="22" t="s">
        <v>1335</v>
      </c>
      <c r="B7" s="22" t="s">
        <v>449</v>
      </c>
      <c r="C7" s="22" t="s">
        <v>1371</v>
      </c>
      <c r="D7" s="22" t="s">
        <v>450</v>
      </c>
      <c r="E7" s="22" t="s">
        <v>799</v>
      </c>
      <c r="F7" s="22" t="s">
        <v>927</v>
      </c>
      <c r="G7" s="22" t="s">
        <v>800</v>
      </c>
    </row>
    <row r="8" spans="1:7" ht="14.25">
      <c r="A8" s="925">
        <v>1</v>
      </c>
      <c r="B8" s="925">
        <v>2</v>
      </c>
      <c r="C8" s="925">
        <v>3</v>
      </c>
      <c r="D8" s="925">
        <v>4</v>
      </c>
      <c r="E8" s="925">
        <v>5</v>
      </c>
      <c r="F8" s="925">
        <v>6</v>
      </c>
      <c r="G8" s="925">
        <v>7</v>
      </c>
    </row>
    <row r="9" spans="1:16" ht="14.25">
      <c r="A9" s="150">
        <v>1</v>
      </c>
      <c r="B9" s="195" t="s">
        <v>1061</v>
      </c>
      <c r="C9" s="255"/>
      <c r="D9" s="196"/>
      <c r="E9" s="196"/>
      <c r="F9" s="196"/>
      <c r="G9" s="256"/>
      <c r="I9" s="65"/>
      <c r="J9" s="65"/>
      <c r="K9" s="71"/>
      <c r="L9" s="71"/>
      <c r="M9" s="71"/>
      <c r="N9" s="71"/>
      <c r="O9" s="65"/>
      <c r="P9" s="65"/>
    </row>
    <row r="10" spans="1:16" ht="15">
      <c r="A10" s="245" t="s">
        <v>442</v>
      </c>
      <c r="B10" s="195" t="s">
        <v>443</v>
      </c>
      <c r="C10" s="195">
        <v>7130640030</v>
      </c>
      <c r="D10" s="183" t="s">
        <v>1553</v>
      </c>
      <c r="E10" s="186">
        <f>VLOOKUP(C10,'SOR RATE'!A:D,4,0)</f>
        <v>3857</v>
      </c>
      <c r="F10" s="150">
        <v>50</v>
      </c>
      <c r="G10" s="152">
        <f>F10*E10</f>
        <v>192850</v>
      </c>
      <c r="I10" s="77"/>
      <c r="J10" s="78"/>
      <c r="K10" s="926"/>
      <c r="L10" s="927"/>
      <c r="M10" s="928"/>
      <c r="N10" s="65"/>
      <c r="O10" s="65"/>
      <c r="P10" s="65"/>
    </row>
    <row r="11" spans="1:16" ht="15">
      <c r="A11" s="245" t="s">
        <v>460</v>
      </c>
      <c r="B11" s="195" t="s">
        <v>444</v>
      </c>
      <c r="C11" s="195">
        <v>7130640036</v>
      </c>
      <c r="D11" s="183" t="s">
        <v>1553</v>
      </c>
      <c r="E11" s="186">
        <f>VLOOKUP(C11,'SOR RATE'!A:D,4,0)</f>
        <v>7661</v>
      </c>
      <c r="F11" s="150"/>
      <c r="G11" s="152"/>
      <c r="I11" s="77"/>
      <c r="J11" s="78"/>
      <c r="K11" s="926"/>
      <c r="L11" s="927"/>
      <c r="M11" s="928"/>
      <c r="N11" s="65"/>
      <c r="O11" s="65"/>
      <c r="P11" s="65"/>
    </row>
    <row r="12" spans="1:16" ht="14.25">
      <c r="A12" s="150">
        <v>2</v>
      </c>
      <c r="B12" s="304" t="s">
        <v>97</v>
      </c>
      <c r="C12" s="195">
        <v>7130310079</v>
      </c>
      <c r="D12" s="150" t="s">
        <v>1368</v>
      </c>
      <c r="E12" s="186">
        <f>VLOOKUP(C12,'SOR RATE'!A:D,4,0)/1000</f>
        <v>939.613</v>
      </c>
      <c r="F12" s="150">
        <v>50</v>
      </c>
      <c r="G12" s="152">
        <f aca="true" t="shared" si="0" ref="G12:G17">F12*E12</f>
        <v>46980.65</v>
      </c>
      <c r="I12" s="65"/>
      <c r="J12" s="65"/>
      <c r="K12" s="95"/>
      <c r="L12" s="95"/>
      <c r="M12" s="95"/>
      <c r="N12" s="95"/>
      <c r="O12" s="95"/>
      <c r="P12" s="65"/>
    </row>
    <row r="13" spans="1:16" ht="31.5" customHeight="1">
      <c r="A13" s="136">
        <v>3</v>
      </c>
      <c r="B13" s="258" t="s">
        <v>98</v>
      </c>
      <c r="C13" s="233">
        <v>7130352041</v>
      </c>
      <c r="D13" s="136" t="s">
        <v>802</v>
      </c>
      <c r="E13" s="137">
        <f>VLOOKUP(C13,'SOR RATE'!A:D,4,0)</f>
        <v>10751</v>
      </c>
      <c r="F13" s="136">
        <v>2</v>
      </c>
      <c r="G13" s="138">
        <f t="shared" si="0"/>
        <v>21502</v>
      </c>
      <c r="I13" s="49"/>
      <c r="J13" s="65"/>
      <c r="K13" s="95"/>
      <c r="L13" s="95"/>
      <c r="M13" s="95"/>
      <c r="N13" s="95"/>
      <c r="O13" s="95"/>
      <c r="P13" s="95"/>
    </row>
    <row r="14" spans="1:16" ht="30.75" customHeight="1">
      <c r="A14" s="135">
        <v>4</v>
      </c>
      <c r="B14" s="134" t="s">
        <v>367</v>
      </c>
      <c r="C14" s="556"/>
      <c r="D14" s="135" t="s">
        <v>452</v>
      </c>
      <c r="E14" s="137">
        <f>1.1*450</f>
        <v>495.00000000000006</v>
      </c>
      <c r="F14" s="135">
        <v>40</v>
      </c>
      <c r="G14" s="137">
        <f t="shared" si="0"/>
        <v>19800.000000000004</v>
      </c>
      <c r="I14" s="65"/>
      <c r="J14" s="65"/>
      <c r="K14" s="65"/>
      <c r="L14" s="65"/>
      <c r="M14" s="65"/>
      <c r="N14" s="65"/>
      <c r="O14" s="65"/>
      <c r="P14" s="65"/>
    </row>
    <row r="15" spans="1:16" ht="28.5">
      <c r="A15" s="136">
        <v>5</v>
      </c>
      <c r="B15" s="258" t="s">
        <v>368</v>
      </c>
      <c r="C15" s="260">
        <v>7130640027</v>
      </c>
      <c r="D15" s="260" t="s">
        <v>1060</v>
      </c>
      <c r="E15" s="137">
        <f>VLOOKUP(C15,'SOR RATE'!A:D,4,0)</f>
        <v>929</v>
      </c>
      <c r="F15" s="136">
        <v>12</v>
      </c>
      <c r="G15" s="138">
        <f t="shared" si="0"/>
        <v>11148</v>
      </c>
      <c r="I15" s="86"/>
      <c r="J15" s="65"/>
      <c r="K15" s="71"/>
      <c r="L15" s="71"/>
      <c r="M15" s="71"/>
      <c r="N15" s="71"/>
      <c r="O15" s="71"/>
      <c r="P15" s="65"/>
    </row>
    <row r="16" spans="1:16" ht="17.25" customHeight="1">
      <c r="A16" s="136">
        <v>6</v>
      </c>
      <c r="B16" s="556" t="s">
        <v>445</v>
      </c>
      <c r="C16" s="556">
        <v>7130640028</v>
      </c>
      <c r="D16" s="136" t="s">
        <v>452</v>
      </c>
      <c r="E16" s="137">
        <f>VLOOKUP(C16,'SOR RATE'!A:D,4,0)</f>
        <v>805</v>
      </c>
      <c r="F16" s="136">
        <v>2</v>
      </c>
      <c r="G16" s="138">
        <f t="shared" si="0"/>
        <v>1610</v>
      </c>
      <c r="I16" s="65"/>
      <c r="J16" s="65"/>
      <c r="K16" s="71"/>
      <c r="L16" s="71"/>
      <c r="M16" s="65"/>
      <c r="N16" s="65"/>
      <c r="O16" s="65"/>
      <c r="P16" s="65"/>
    </row>
    <row r="17" spans="1:16" ht="31.5" customHeight="1">
      <c r="A17" s="136">
        <v>7</v>
      </c>
      <c r="B17" s="134" t="s">
        <v>213</v>
      </c>
      <c r="C17" s="556"/>
      <c r="D17" s="136" t="s">
        <v>454</v>
      </c>
      <c r="E17" s="138">
        <v>3220</v>
      </c>
      <c r="F17" s="136">
        <v>0.5</v>
      </c>
      <c r="G17" s="138">
        <f t="shared" si="0"/>
        <v>1610</v>
      </c>
      <c r="I17" s="65"/>
      <c r="J17" s="65"/>
      <c r="K17" s="65"/>
      <c r="L17" s="65"/>
      <c r="M17" s="65"/>
      <c r="N17" s="65"/>
      <c r="O17" s="65"/>
      <c r="P17" s="65"/>
    </row>
    <row r="18" spans="1:7" ht="16.5" customHeight="1">
      <c r="A18" s="136">
        <v>8</v>
      </c>
      <c r="B18" s="184" t="s">
        <v>903</v>
      </c>
      <c r="C18" s="556"/>
      <c r="D18" s="136" t="s">
        <v>439</v>
      </c>
      <c r="E18" s="136" t="s">
        <v>439</v>
      </c>
      <c r="F18" s="136" t="s">
        <v>439</v>
      </c>
      <c r="G18" s="138">
        <f>1.1*2000</f>
        <v>2200</v>
      </c>
    </row>
    <row r="19" spans="1:9" ht="16.5" customHeight="1">
      <c r="A19" s="929">
        <v>9</v>
      </c>
      <c r="B19" s="147" t="s">
        <v>1576</v>
      </c>
      <c r="C19" s="195"/>
      <c r="D19" s="195"/>
      <c r="E19" s="195"/>
      <c r="F19" s="195"/>
      <c r="G19" s="148">
        <f>SUM(G10:G18)</f>
        <v>297700.65</v>
      </c>
      <c r="H19" s="103"/>
      <c r="I19" s="98"/>
    </row>
    <row r="20" spans="1:9" ht="17.25" customHeight="1">
      <c r="A20" s="339">
        <v>10</v>
      </c>
      <c r="B20" s="139" t="s">
        <v>1575</v>
      </c>
      <c r="C20" s="930"/>
      <c r="D20" s="931"/>
      <c r="E20" s="932">
        <v>0.09</v>
      </c>
      <c r="F20" s="933"/>
      <c r="G20" s="138">
        <f>G19*E20</f>
        <v>26793.058500000003</v>
      </c>
      <c r="H20" s="103"/>
      <c r="I20" s="99"/>
    </row>
    <row r="21" spans="1:8" ht="44.25" customHeight="1">
      <c r="A21" s="136">
        <v>11</v>
      </c>
      <c r="B21" s="189" t="s">
        <v>214</v>
      </c>
      <c r="C21" s="197"/>
      <c r="D21" s="934"/>
      <c r="E21" s="195"/>
      <c r="F21" s="195"/>
      <c r="G21" s="138">
        <f>184521.26/20</f>
        <v>9226.063</v>
      </c>
      <c r="H21" s="35"/>
    </row>
    <row r="22" spans="1:8" ht="15">
      <c r="A22" s="59">
        <v>12</v>
      </c>
      <c r="B22" s="147" t="s">
        <v>1577</v>
      </c>
      <c r="C22" s="197"/>
      <c r="D22" s="934"/>
      <c r="E22" s="195"/>
      <c r="F22" s="195"/>
      <c r="G22" s="148">
        <f>G19+G20+G21</f>
        <v>333719.77150000003</v>
      </c>
      <c r="H22" s="104"/>
    </row>
    <row r="23" spans="1:8" ht="32.25" customHeight="1">
      <c r="A23" s="136">
        <v>13</v>
      </c>
      <c r="B23" s="139" t="s">
        <v>1578</v>
      </c>
      <c r="C23" s="197"/>
      <c r="D23" s="934"/>
      <c r="E23" s="136">
        <v>0.11</v>
      </c>
      <c r="F23" s="136"/>
      <c r="G23" s="138">
        <f>G19*E23</f>
        <v>32747.071500000002</v>
      </c>
      <c r="H23" s="104"/>
    </row>
    <row r="24" spans="1:7" ht="31.5" customHeight="1">
      <c r="A24" s="136">
        <v>14</v>
      </c>
      <c r="B24" s="189" t="s">
        <v>297</v>
      </c>
      <c r="C24" s="135" t="s">
        <v>439</v>
      </c>
      <c r="D24" s="935"/>
      <c r="E24" s="556"/>
      <c r="F24" s="556"/>
      <c r="G24" s="138">
        <v>112000</v>
      </c>
    </row>
    <row r="25" spans="1:7" s="28" customFormat="1" ht="19.5" customHeight="1">
      <c r="A25" s="136">
        <v>15</v>
      </c>
      <c r="B25" s="556" t="s">
        <v>447</v>
      </c>
      <c r="C25" s="195"/>
      <c r="D25" s="195"/>
      <c r="E25" s="195"/>
      <c r="F25" s="195"/>
      <c r="G25" s="152">
        <f>G22+G23+G24</f>
        <v>478466.84300000005</v>
      </c>
    </row>
    <row r="26" spans="1:7" ht="15">
      <c r="A26" s="40">
        <v>16</v>
      </c>
      <c r="B26" s="936" t="s">
        <v>215</v>
      </c>
      <c r="C26" s="195"/>
      <c r="D26" s="195"/>
      <c r="E26" s="195"/>
      <c r="F26" s="195"/>
      <c r="G26" s="198">
        <f>ROUND(G25,0)</f>
        <v>478467</v>
      </c>
    </row>
    <row r="27" spans="1:7" ht="16.5" customHeight="1">
      <c r="A27" s="150">
        <v>17</v>
      </c>
      <c r="B27" s="154" t="s">
        <v>298</v>
      </c>
      <c r="C27" s="195"/>
      <c r="D27" s="195"/>
      <c r="E27" s="195"/>
      <c r="F27" s="195"/>
      <c r="G27" s="152">
        <f>1.1*50000*1.2*1.1797*1.1402*0.9368</f>
        <v>83165.544197472</v>
      </c>
    </row>
    <row r="28" spans="1:7" s="28" customFormat="1" ht="14.25">
      <c r="A28" s="150">
        <v>18</v>
      </c>
      <c r="B28" s="195" t="s">
        <v>216</v>
      </c>
      <c r="C28" s="195"/>
      <c r="D28" s="195"/>
      <c r="E28" s="195"/>
      <c r="F28" s="195"/>
      <c r="G28" s="152">
        <f>G26+G27</f>
        <v>561632.544197472</v>
      </c>
    </row>
    <row r="29" spans="1:7" ht="16.5" customHeight="1">
      <c r="A29" s="937">
        <v>19</v>
      </c>
      <c r="B29" s="936" t="s">
        <v>217</v>
      </c>
      <c r="C29" s="938"/>
      <c r="D29" s="938"/>
      <c r="E29" s="938"/>
      <c r="F29" s="253"/>
      <c r="G29" s="198">
        <f>ROUND(G28,0)</f>
        <v>561633</v>
      </c>
    </row>
    <row r="35" spans="1:7" ht="15.75">
      <c r="A35" s="65"/>
      <c r="B35" s="678"/>
      <c r="C35" s="65"/>
      <c r="D35" s="65"/>
      <c r="E35" s="65"/>
      <c r="F35" s="65"/>
      <c r="G35" s="65"/>
    </row>
    <row r="36" spans="1:7" ht="12.75">
      <c r="A36" s="65"/>
      <c r="B36" s="65"/>
      <c r="C36" s="65"/>
      <c r="D36" s="65"/>
      <c r="E36" s="65"/>
      <c r="F36" s="65"/>
      <c r="G36" s="65"/>
    </row>
    <row r="37" spans="1:7" ht="14.25">
      <c r="A37" s="748"/>
      <c r="B37" s="77"/>
      <c r="C37" s="77"/>
      <c r="D37" s="77"/>
      <c r="E37" s="77"/>
      <c r="F37" s="77"/>
      <c r="G37" s="77"/>
    </row>
    <row r="38" spans="1:7" ht="14.25">
      <c r="A38" s="939"/>
      <c r="B38" s="77"/>
      <c r="C38" s="77"/>
      <c r="D38" s="748"/>
      <c r="E38" s="940"/>
      <c r="F38" s="748"/>
      <c r="G38" s="940"/>
    </row>
    <row r="39" spans="1:7" ht="14.25">
      <c r="A39" s="939"/>
      <c r="B39" s="77"/>
      <c r="C39" s="77"/>
      <c r="D39" s="748"/>
      <c r="E39" s="940"/>
      <c r="F39" s="748"/>
      <c r="G39" s="940"/>
    </row>
  </sheetData>
  <sheetProtection/>
  <mergeCells count="2">
    <mergeCell ref="B1:C1"/>
    <mergeCell ref="B3:F3"/>
  </mergeCells>
  <conditionalFormatting sqref="B19:B20">
    <cfRule type="cellIs" priority="1" dxfId="0" operator="equal" stopIfTrue="1">
      <formula>"?"</formula>
    </cfRule>
  </conditionalFormatting>
  <printOptions/>
  <pageMargins left="0.86" right="0.16" top="1" bottom="1" header="0.5" footer="0.5"/>
  <pageSetup horizontalDpi="600" verticalDpi="600" orientation="portrait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O80"/>
  <sheetViews>
    <sheetView zoomScaleSheetLayoutView="75" zoomScalePageLayoutView="0" workbookViewId="0" topLeftCell="A3">
      <pane xSplit="5" ySplit="6" topLeftCell="F48" activePane="bottomRight" state="frozen"/>
      <selection pane="topLeft" activeCell="A3" sqref="A3"/>
      <selection pane="topRight" activeCell="F3" sqref="F3"/>
      <selection pane="bottomLeft" activeCell="A9" sqref="A9"/>
      <selection pane="bottomRight" activeCell="M15" sqref="M15"/>
    </sheetView>
  </sheetViews>
  <sheetFormatPr defaultColWidth="9.140625" defaultRowHeight="12.75"/>
  <cols>
    <col min="1" max="1" width="4.8515625" style="574" customWidth="1"/>
    <col min="2" max="2" width="45.421875" style="98" customWidth="1"/>
    <col min="3" max="3" width="13.421875" style="574" customWidth="1"/>
    <col min="4" max="4" width="6.140625" style="98" customWidth="1"/>
    <col min="5" max="5" width="5.8515625" style="98" customWidth="1"/>
    <col min="6" max="6" width="9.57421875" style="98" bestFit="1" customWidth="1"/>
    <col min="7" max="7" width="11.140625" style="98" customWidth="1"/>
    <col min="8" max="8" width="9.57421875" style="98" bestFit="1" customWidth="1"/>
    <col min="9" max="9" width="11.28125" style="98" customWidth="1"/>
    <col min="10" max="10" width="9.57421875" style="98" bestFit="1" customWidth="1"/>
    <col min="11" max="11" width="11.57421875" style="98" customWidth="1"/>
    <col min="12" max="12" width="18.57421875" style="98" customWidth="1"/>
    <col min="13" max="13" width="18.421875" style="98" customWidth="1"/>
    <col min="14" max="14" width="23.7109375" style="98" customWidth="1"/>
    <col min="15" max="16384" width="9.140625" style="98" customWidth="1"/>
  </cols>
  <sheetData>
    <row r="1" spans="2:11" ht="20.25" customHeight="1" thickBot="1">
      <c r="B1" s="941"/>
      <c r="C1" s="941"/>
      <c r="D1" s="1319" t="s">
        <v>218</v>
      </c>
      <c r="E1" s="1320"/>
      <c r="F1" s="1320"/>
      <c r="G1" s="1320"/>
      <c r="H1" s="1321"/>
      <c r="I1" s="941"/>
      <c r="J1" s="941"/>
      <c r="K1" s="941"/>
    </row>
    <row r="2" spans="2:11" ht="12.75" customHeight="1">
      <c r="B2" s="941"/>
      <c r="C2" s="941"/>
      <c r="D2" s="942"/>
      <c r="E2" s="942"/>
      <c r="F2" s="942"/>
      <c r="G2" s="942"/>
      <c r="H2" s="942"/>
      <c r="I2" s="941"/>
      <c r="J2" s="941"/>
      <c r="K2" s="941"/>
    </row>
    <row r="3" spans="2:11" ht="32.25" customHeight="1">
      <c r="B3" s="1322" t="s">
        <v>219</v>
      </c>
      <c r="C3" s="1322"/>
      <c r="D3" s="1322"/>
      <c r="E3" s="1322"/>
      <c r="F3" s="1322"/>
      <c r="G3" s="1322"/>
      <c r="H3" s="1322"/>
      <c r="I3" s="1322"/>
      <c r="J3" s="1322"/>
      <c r="K3" s="943"/>
    </row>
    <row r="4" spans="2:11" ht="13.5" customHeight="1">
      <c r="B4" s="944"/>
      <c r="C4" s="944"/>
      <c r="D4" s="944"/>
      <c r="E4" s="944"/>
      <c r="F4" s="944"/>
      <c r="G4" s="944"/>
      <c r="H4" s="944"/>
      <c r="I4" s="944"/>
      <c r="J4" s="944"/>
      <c r="K4" s="944"/>
    </row>
    <row r="5" spans="2:11" ht="20.25" customHeight="1">
      <c r="B5" s="944"/>
      <c r="C5" s="944"/>
      <c r="D5" s="944"/>
      <c r="E5" s="944"/>
      <c r="F5" s="944"/>
      <c r="G5" s="944"/>
      <c r="H5" s="944"/>
      <c r="I5" s="944"/>
      <c r="J5" s="944"/>
      <c r="K5" s="1077" t="s">
        <v>551</v>
      </c>
    </row>
    <row r="6" spans="1:12" ht="15" customHeight="1">
      <c r="A6" s="1323" t="s">
        <v>1335</v>
      </c>
      <c r="B6" s="1325" t="s">
        <v>449</v>
      </c>
      <c r="C6" s="1325" t="s">
        <v>220</v>
      </c>
      <c r="D6" s="1325" t="s">
        <v>450</v>
      </c>
      <c r="E6" s="1325" t="s">
        <v>1315</v>
      </c>
      <c r="F6" s="1326" t="s">
        <v>221</v>
      </c>
      <c r="G6" s="1327"/>
      <c r="H6" s="1326" t="s">
        <v>222</v>
      </c>
      <c r="I6" s="1327"/>
      <c r="J6" s="1325" t="s">
        <v>223</v>
      </c>
      <c r="K6" s="1325"/>
      <c r="L6" s="945"/>
    </row>
    <row r="7" spans="1:14" ht="15">
      <c r="A7" s="1324"/>
      <c r="B7" s="1325"/>
      <c r="C7" s="1325"/>
      <c r="D7" s="1325"/>
      <c r="E7" s="1325"/>
      <c r="F7" s="320" t="s">
        <v>939</v>
      </c>
      <c r="G7" s="320" t="s">
        <v>800</v>
      </c>
      <c r="H7" s="320" t="s">
        <v>939</v>
      </c>
      <c r="I7" s="320" t="s">
        <v>800</v>
      </c>
      <c r="J7" s="320" t="s">
        <v>799</v>
      </c>
      <c r="K7" s="320" t="s">
        <v>800</v>
      </c>
      <c r="N7" s="45"/>
    </row>
    <row r="8" spans="1:15" s="32" customFormat="1" ht="12.75">
      <c r="A8" s="946">
        <v>1</v>
      </c>
      <c r="B8" s="947">
        <v>2</v>
      </c>
      <c r="C8" s="947">
        <v>3</v>
      </c>
      <c r="D8" s="947">
        <v>4</v>
      </c>
      <c r="E8" s="947">
        <v>5</v>
      </c>
      <c r="F8" s="947">
        <v>6</v>
      </c>
      <c r="G8" s="947">
        <v>7</v>
      </c>
      <c r="H8" s="947">
        <v>8</v>
      </c>
      <c r="I8" s="947">
        <v>9</v>
      </c>
      <c r="J8" s="947">
        <v>10</v>
      </c>
      <c r="K8" s="947">
        <v>11</v>
      </c>
      <c r="L8" s="948"/>
      <c r="M8" s="665"/>
      <c r="N8" s="45"/>
      <c r="O8" s="73"/>
    </row>
    <row r="9" spans="1:13" ht="16.5" customHeight="1">
      <c r="A9" s="303">
        <v>1</v>
      </c>
      <c r="B9" s="258" t="s">
        <v>224</v>
      </c>
      <c r="C9" s="303"/>
      <c r="D9" s="303" t="s">
        <v>803</v>
      </c>
      <c r="E9" s="303">
        <v>1</v>
      </c>
      <c r="F9" s="182">
        <v>25351</v>
      </c>
      <c r="G9" s="182">
        <f aca="true" t="shared" si="0" ref="G9:G44">F9*E9</f>
        <v>25351</v>
      </c>
      <c r="H9" s="182">
        <v>36194</v>
      </c>
      <c r="I9" s="182">
        <f>H9*E9</f>
        <v>36194</v>
      </c>
      <c r="J9" s="182">
        <v>44836</v>
      </c>
      <c r="K9" s="182">
        <f>J9*E9</f>
        <v>44836</v>
      </c>
      <c r="L9" s="1119"/>
      <c r="M9" s="302"/>
    </row>
    <row r="10" spans="1:11" ht="16.5" customHeight="1">
      <c r="A10" s="303">
        <v>2</v>
      </c>
      <c r="B10" s="258" t="s">
        <v>225</v>
      </c>
      <c r="C10" s="303">
        <v>7130800033</v>
      </c>
      <c r="D10" s="303" t="s">
        <v>803</v>
      </c>
      <c r="E10" s="303">
        <v>1</v>
      </c>
      <c r="F10" s="182">
        <v>1844</v>
      </c>
      <c r="G10" s="182">
        <f t="shared" si="0"/>
        <v>1844</v>
      </c>
      <c r="H10" s="182">
        <f>+F10</f>
        <v>1844</v>
      </c>
      <c r="I10" s="182">
        <f aca="true" t="shared" si="1" ref="I10:I44">H10*E10</f>
        <v>1844</v>
      </c>
      <c r="J10" s="182">
        <f>+F10</f>
        <v>1844</v>
      </c>
      <c r="K10" s="182">
        <f aca="true" t="shared" si="2" ref="K10:K44">J10*E10</f>
        <v>1844</v>
      </c>
    </row>
    <row r="11" spans="1:13" ht="28.5">
      <c r="A11" s="303">
        <f>A10+1</f>
        <v>3</v>
      </c>
      <c r="B11" s="258" t="s">
        <v>226</v>
      </c>
      <c r="C11" s="259">
        <v>7130810495</v>
      </c>
      <c r="D11" s="260" t="s">
        <v>452</v>
      </c>
      <c r="E11" s="303">
        <v>1</v>
      </c>
      <c r="F11" s="182">
        <f>VLOOKUP(C11,'SOR RATE'!A:D,4,0)</f>
        <v>1048</v>
      </c>
      <c r="G11" s="182">
        <f t="shared" si="0"/>
        <v>1048</v>
      </c>
      <c r="H11" s="182">
        <f aca="true" t="shared" si="3" ref="H11:H17">+F11</f>
        <v>1048</v>
      </c>
      <c r="I11" s="182">
        <f t="shared" si="1"/>
        <v>1048</v>
      </c>
      <c r="J11" s="182">
        <f aca="true" t="shared" si="4" ref="J11:J16">+H11</f>
        <v>1048</v>
      </c>
      <c r="K11" s="182">
        <f t="shared" si="2"/>
        <v>1048</v>
      </c>
      <c r="M11" s="302"/>
    </row>
    <row r="12" spans="1:13" ht="14.25">
      <c r="A12" s="303">
        <v>4</v>
      </c>
      <c r="B12" s="258" t="s">
        <v>227</v>
      </c>
      <c r="C12" s="259">
        <v>7130810679</v>
      </c>
      <c r="D12" s="260" t="s">
        <v>452</v>
      </c>
      <c r="E12" s="303">
        <v>1</v>
      </c>
      <c r="F12" s="182">
        <f>VLOOKUP(C12,'SOR RATE'!A:D,4,0)</f>
        <v>294</v>
      </c>
      <c r="G12" s="182">
        <f t="shared" si="0"/>
        <v>294</v>
      </c>
      <c r="H12" s="182">
        <f t="shared" si="3"/>
        <v>294</v>
      </c>
      <c r="I12" s="182">
        <f t="shared" si="1"/>
        <v>294</v>
      </c>
      <c r="J12" s="182">
        <f t="shared" si="4"/>
        <v>294</v>
      </c>
      <c r="K12" s="182">
        <f t="shared" si="2"/>
        <v>294</v>
      </c>
      <c r="M12" s="302"/>
    </row>
    <row r="13" spans="1:14" ht="15" customHeight="1">
      <c r="A13" s="303">
        <v>5</v>
      </c>
      <c r="B13" s="139" t="s">
        <v>168</v>
      </c>
      <c r="C13" s="238">
        <v>7130820008</v>
      </c>
      <c r="D13" s="260" t="s">
        <v>452</v>
      </c>
      <c r="E13" s="303">
        <v>3</v>
      </c>
      <c r="F13" s="182">
        <f>VLOOKUP(C13,'SOR RATE'!A:D,4,0)</f>
        <v>157</v>
      </c>
      <c r="G13" s="182">
        <f t="shared" si="0"/>
        <v>471</v>
      </c>
      <c r="H13" s="182">
        <f t="shared" si="3"/>
        <v>157</v>
      </c>
      <c r="I13" s="182">
        <f t="shared" si="1"/>
        <v>471</v>
      </c>
      <c r="J13" s="182">
        <f t="shared" si="4"/>
        <v>157</v>
      </c>
      <c r="K13" s="182">
        <f t="shared" si="2"/>
        <v>471</v>
      </c>
      <c r="M13" s="1328" t="s">
        <v>169</v>
      </c>
      <c r="N13" s="1328"/>
    </row>
    <row r="14" spans="1:13" ht="17.25" customHeight="1">
      <c r="A14" s="303">
        <v>6</v>
      </c>
      <c r="B14" s="134" t="s">
        <v>1030</v>
      </c>
      <c r="C14" s="733">
        <v>7130820010</v>
      </c>
      <c r="D14" s="260" t="s">
        <v>452</v>
      </c>
      <c r="E14" s="303">
        <v>3</v>
      </c>
      <c r="F14" s="182">
        <f>VLOOKUP(C14,'SOR RATE'!A:D,4,0)</f>
        <v>140</v>
      </c>
      <c r="G14" s="182">
        <f t="shared" si="0"/>
        <v>420</v>
      </c>
      <c r="H14" s="182">
        <f t="shared" si="3"/>
        <v>140</v>
      </c>
      <c r="I14" s="182">
        <f t="shared" si="1"/>
        <v>420</v>
      </c>
      <c r="J14" s="182">
        <f t="shared" si="4"/>
        <v>140</v>
      </c>
      <c r="K14" s="182">
        <f t="shared" si="2"/>
        <v>420</v>
      </c>
      <c r="M14" s="56" t="s">
        <v>1031</v>
      </c>
    </row>
    <row r="15" spans="1:11" ht="15.75" customHeight="1">
      <c r="A15" s="303">
        <v>7</v>
      </c>
      <c r="B15" s="258" t="s">
        <v>228</v>
      </c>
      <c r="C15" s="259">
        <v>7130820241</v>
      </c>
      <c r="D15" s="260" t="s">
        <v>452</v>
      </c>
      <c r="E15" s="303">
        <v>3</v>
      </c>
      <c r="F15" s="182">
        <f>VLOOKUP(C15,'SOR RATE'!A:D,4,0)</f>
        <v>123</v>
      </c>
      <c r="G15" s="182">
        <f t="shared" si="0"/>
        <v>369</v>
      </c>
      <c r="H15" s="182">
        <f t="shared" si="3"/>
        <v>123</v>
      </c>
      <c r="I15" s="182">
        <f t="shared" si="1"/>
        <v>369</v>
      </c>
      <c r="J15" s="182">
        <f t="shared" si="4"/>
        <v>123</v>
      </c>
      <c r="K15" s="182">
        <f t="shared" si="2"/>
        <v>369</v>
      </c>
    </row>
    <row r="16" spans="1:13" ht="31.5" customHeight="1">
      <c r="A16" s="303">
        <v>8</v>
      </c>
      <c r="B16" s="258" t="s">
        <v>229</v>
      </c>
      <c r="C16" s="950">
        <v>7130810509</v>
      </c>
      <c r="D16" s="735" t="s">
        <v>452</v>
      </c>
      <c r="E16" s="303">
        <v>1</v>
      </c>
      <c r="F16" s="182">
        <f>VLOOKUP(C16,'SOR RATE'!A205:D205,4,0)</f>
        <v>3322</v>
      </c>
      <c r="G16" s="182">
        <f t="shared" si="0"/>
        <v>3322</v>
      </c>
      <c r="H16" s="182">
        <f t="shared" si="3"/>
        <v>3322</v>
      </c>
      <c r="I16" s="182">
        <f t="shared" si="1"/>
        <v>3322</v>
      </c>
      <c r="J16" s="182">
        <f t="shared" si="4"/>
        <v>3322</v>
      </c>
      <c r="K16" s="182">
        <f t="shared" si="2"/>
        <v>3322</v>
      </c>
      <c r="M16" s="302"/>
    </row>
    <row r="17" spans="1:11" ht="17.25" customHeight="1">
      <c r="A17" s="1329">
        <v>9</v>
      </c>
      <c r="B17" s="258" t="s">
        <v>230</v>
      </c>
      <c r="C17" s="734">
        <v>7131930412</v>
      </c>
      <c r="D17" s="260" t="s">
        <v>1553</v>
      </c>
      <c r="E17" s="303">
        <v>2</v>
      </c>
      <c r="F17" s="182">
        <f>VLOOKUP(C17,'SOR RATE'!A:D,4,0)</f>
        <v>1199</v>
      </c>
      <c r="G17" s="182">
        <f t="shared" si="0"/>
        <v>2398</v>
      </c>
      <c r="H17" s="182">
        <f t="shared" si="3"/>
        <v>1199</v>
      </c>
      <c r="I17" s="182">
        <f t="shared" si="1"/>
        <v>2398</v>
      </c>
      <c r="J17" s="303"/>
      <c r="K17" s="182"/>
    </row>
    <row r="18" spans="1:11" ht="16.5" customHeight="1">
      <c r="A18" s="1331"/>
      <c r="B18" s="258" t="s">
        <v>231</v>
      </c>
      <c r="C18" s="734">
        <v>7131930412</v>
      </c>
      <c r="D18" s="260" t="s">
        <v>1553</v>
      </c>
      <c r="E18" s="303">
        <v>3</v>
      </c>
      <c r="F18" s="182">
        <f>VLOOKUP(C18,'SOR RATE'!A:D,4,0)</f>
        <v>1199</v>
      </c>
      <c r="G18" s="182"/>
      <c r="H18" s="303"/>
      <c r="I18" s="182"/>
      <c r="J18" s="182">
        <f>+F18</f>
        <v>1199</v>
      </c>
      <c r="K18" s="182">
        <f>J18*E18</f>
        <v>3597</v>
      </c>
    </row>
    <row r="19" spans="1:13" ht="28.5">
      <c r="A19" s="303">
        <v>10</v>
      </c>
      <c r="B19" s="258" t="s">
        <v>232</v>
      </c>
      <c r="C19" s="303">
        <v>7130600023</v>
      </c>
      <c r="D19" s="303" t="s">
        <v>458</v>
      </c>
      <c r="E19" s="303">
        <v>20</v>
      </c>
      <c r="F19" s="182">
        <f>VLOOKUP(C19,'SOR RATE'!A:D,4,0)/1000</f>
        <v>40.214</v>
      </c>
      <c r="G19" s="182">
        <f t="shared" si="0"/>
        <v>804.28</v>
      </c>
      <c r="H19" s="182">
        <f>+F19</f>
        <v>40.214</v>
      </c>
      <c r="I19" s="182">
        <f t="shared" si="1"/>
        <v>804.28</v>
      </c>
      <c r="J19" s="182">
        <f>+H19</f>
        <v>40.214</v>
      </c>
      <c r="K19" s="182">
        <f t="shared" si="2"/>
        <v>804.28</v>
      </c>
      <c r="M19" s="302"/>
    </row>
    <row r="20" spans="1:11" ht="14.25">
      <c r="A20" s="1329">
        <v>11</v>
      </c>
      <c r="B20" s="258" t="s">
        <v>1294</v>
      </c>
      <c r="C20" s="734">
        <v>7130860032</v>
      </c>
      <c r="D20" s="260" t="s">
        <v>452</v>
      </c>
      <c r="E20" s="303">
        <v>4</v>
      </c>
      <c r="F20" s="182">
        <f>VLOOKUP(C20,'SOR RATE'!A:D,4,0)</f>
        <v>387</v>
      </c>
      <c r="G20" s="303">
        <f t="shared" si="0"/>
        <v>1548</v>
      </c>
      <c r="H20" s="182">
        <f>+F20</f>
        <v>387</v>
      </c>
      <c r="I20" s="303">
        <f t="shared" si="1"/>
        <v>1548</v>
      </c>
      <c r="J20" s="182">
        <f>+H20</f>
        <v>387</v>
      </c>
      <c r="K20" s="182">
        <f t="shared" si="2"/>
        <v>1548</v>
      </c>
    </row>
    <row r="21" spans="1:11" ht="18" customHeight="1">
      <c r="A21" s="1330"/>
      <c r="B21" s="258" t="s">
        <v>233</v>
      </c>
      <c r="C21" s="734">
        <v>7130860077</v>
      </c>
      <c r="D21" s="260" t="s">
        <v>458</v>
      </c>
      <c r="E21" s="303">
        <v>22</v>
      </c>
      <c r="F21" s="182">
        <f>VLOOKUP(C21,'SOR RATE'!A:D,4,0)/1000</f>
        <v>61.6</v>
      </c>
      <c r="G21" s="182">
        <f t="shared" si="0"/>
        <v>1355.2</v>
      </c>
      <c r="H21" s="182">
        <f>+F21</f>
        <v>61.6</v>
      </c>
      <c r="I21" s="182">
        <f t="shared" si="1"/>
        <v>1355.2</v>
      </c>
      <c r="J21" s="182">
        <f>+H21</f>
        <v>61.6</v>
      </c>
      <c r="K21" s="182">
        <f t="shared" si="2"/>
        <v>1355.2</v>
      </c>
    </row>
    <row r="22" spans="1:11" ht="15.75" customHeight="1">
      <c r="A22" s="1331"/>
      <c r="B22" s="258" t="s">
        <v>234</v>
      </c>
      <c r="C22" s="770">
        <v>7130810026</v>
      </c>
      <c r="D22" s="260" t="s">
        <v>452</v>
      </c>
      <c r="E22" s="303">
        <v>4</v>
      </c>
      <c r="F22" s="182">
        <f>VLOOKUP(C22,'SOR RATE'!A:D,4,0)</f>
        <v>142</v>
      </c>
      <c r="G22" s="182">
        <f t="shared" si="0"/>
        <v>568</v>
      </c>
      <c r="H22" s="182">
        <f>+F22</f>
        <v>142</v>
      </c>
      <c r="I22" s="182">
        <f t="shared" si="1"/>
        <v>568</v>
      </c>
      <c r="J22" s="182">
        <f>+H22</f>
        <v>142</v>
      </c>
      <c r="K22" s="182">
        <f t="shared" si="2"/>
        <v>568</v>
      </c>
    </row>
    <row r="23" spans="1:11" ht="45.75" customHeight="1">
      <c r="A23" s="1329">
        <v>12</v>
      </c>
      <c r="B23" s="258" t="s">
        <v>235</v>
      </c>
      <c r="C23" s="303"/>
      <c r="D23" s="303" t="s">
        <v>454</v>
      </c>
      <c r="E23" s="303">
        <v>1.35</v>
      </c>
      <c r="F23" s="951"/>
      <c r="G23" s="952"/>
      <c r="H23" s="952"/>
      <c r="I23" s="952"/>
      <c r="J23" s="952"/>
      <c r="K23" s="953"/>
    </row>
    <row r="24" spans="1:11" ht="18.75" customHeight="1">
      <c r="A24" s="1331"/>
      <c r="B24" s="258" t="s">
        <v>236</v>
      </c>
      <c r="C24" s="734">
        <v>7130200401</v>
      </c>
      <c r="D24" s="954" t="s">
        <v>458</v>
      </c>
      <c r="E24" s="303">
        <v>281</v>
      </c>
      <c r="F24" s="182">
        <f>VLOOKUP(C24,'SOR RATE'!A:D,4,0)/50</f>
        <v>5.36</v>
      </c>
      <c r="G24" s="182">
        <f t="shared" si="0"/>
        <v>1506.16</v>
      </c>
      <c r="H24" s="182">
        <f>+F24</f>
        <v>5.36</v>
      </c>
      <c r="I24" s="182">
        <f t="shared" si="1"/>
        <v>1506.16</v>
      </c>
      <c r="J24" s="182">
        <f>+H24</f>
        <v>5.36</v>
      </c>
      <c r="K24" s="182">
        <f t="shared" si="2"/>
        <v>1506.16</v>
      </c>
    </row>
    <row r="25" spans="1:11" ht="31.5" customHeight="1">
      <c r="A25" s="303">
        <v>13</v>
      </c>
      <c r="B25" s="258" t="s">
        <v>237</v>
      </c>
      <c r="C25" s="303"/>
      <c r="D25" s="303" t="s">
        <v>238</v>
      </c>
      <c r="E25" s="303">
        <v>1</v>
      </c>
      <c r="F25" s="182">
        <f>1.1*918*1.2*1.08*1.11</f>
        <v>1452.6578880000002</v>
      </c>
      <c r="G25" s="182">
        <f t="shared" si="0"/>
        <v>1452.6578880000002</v>
      </c>
      <c r="H25" s="182">
        <f>+F25</f>
        <v>1452.6578880000002</v>
      </c>
      <c r="I25" s="182">
        <f t="shared" si="1"/>
        <v>1452.6578880000002</v>
      </c>
      <c r="J25" s="182">
        <f>+F25</f>
        <v>1452.6578880000002</v>
      </c>
      <c r="K25" s="182">
        <f t="shared" si="2"/>
        <v>1452.6578880000002</v>
      </c>
    </row>
    <row r="26" spans="1:11" ht="30.75" customHeight="1">
      <c r="A26" s="303">
        <v>14</v>
      </c>
      <c r="B26" s="258" t="s">
        <v>239</v>
      </c>
      <c r="C26" s="303"/>
      <c r="D26" s="303" t="s">
        <v>803</v>
      </c>
      <c r="E26" s="303">
        <v>2</v>
      </c>
      <c r="F26" s="182">
        <f>1.1*435*1.2*1.08*1.11</f>
        <v>688.3509600000001</v>
      </c>
      <c r="G26" s="182">
        <f t="shared" si="0"/>
        <v>1376.7019200000002</v>
      </c>
      <c r="H26" s="182">
        <f>+F26</f>
        <v>688.3509600000001</v>
      </c>
      <c r="I26" s="182">
        <f t="shared" si="1"/>
        <v>1376.7019200000002</v>
      </c>
      <c r="J26" s="182">
        <f>+F26</f>
        <v>688.3509600000001</v>
      </c>
      <c r="K26" s="182">
        <f t="shared" si="2"/>
        <v>1376.7019200000002</v>
      </c>
    </row>
    <row r="27" spans="1:11" ht="17.25" customHeight="1">
      <c r="A27" s="303">
        <v>15</v>
      </c>
      <c r="B27" s="258" t="s">
        <v>1342</v>
      </c>
      <c r="C27" s="734">
        <v>7130880041</v>
      </c>
      <c r="D27" s="260" t="s">
        <v>1553</v>
      </c>
      <c r="E27" s="303">
        <v>1</v>
      </c>
      <c r="F27" s="182">
        <f>VLOOKUP(C27,'SOR RATE'!A:D,4,0)</f>
        <v>74</v>
      </c>
      <c r="G27" s="182">
        <f t="shared" si="0"/>
        <v>74</v>
      </c>
      <c r="H27" s="182">
        <f>+F27</f>
        <v>74</v>
      </c>
      <c r="I27" s="182">
        <f t="shared" si="1"/>
        <v>74</v>
      </c>
      <c r="J27" s="182">
        <f>+H27</f>
        <v>74</v>
      </c>
      <c r="K27" s="182">
        <f t="shared" si="2"/>
        <v>74</v>
      </c>
    </row>
    <row r="28" spans="1:14" ht="16.5" customHeight="1">
      <c r="A28" s="303">
        <v>16</v>
      </c>
      <c r="B28" s="139" t="s">
        <v>308</v>
      </c>
      <c r="C28" s="140">
        <v>7130610206</v>
      </c>
      <c r="D28" s="136" t="s">
        <v>458</v>
      </c>
      <c r="E28" s="303">
        <v>1</v>
      </c>
      <c r="F28" s="182">
        <f>VLOOKUP(C28,'SOR RATE'!A:D,4,0)/1000</f>
        <v>66.528</v>
      </c>
      <c r="G28" s="182">
        <f t="shared" si="0"/>
        <v>66.528</v>
      </c>
      <c r="H28" s="182">
        <f>+F28</f>
        <v>66.528</v>
      </c>
      <c r="I28" s="182">
        <f t="shared" si="1"/>
        <v>66.528</v>
      </c>
      <c r="J28" s="182">
        <f>+H28</f>
        <v>66.528</v>
      </c>
      <c r="K28" s="182">
        <f t="shared" si="2"/>
        <v>66.528</v>
      </c>
      <c r="L28" s="106"/>
      <c r="M28" s="64"/>
      <c r="N28" s="64"/>
    </row>
    <row r="29" spans="1:11" ht="16.5" customHeight="1">
      <c r="A29" s="1329">
        <v>17</v>
      </c>
      <c r="B29" s="258" t="s">
        <v>240</v>
      </c>
      <c r="C29" s="955"/>
      <c r="D29" s="956"/>
      <c r="E29" s="956"/>
      <c r="F29" s="956"/>
      <c r="G29" s="956"/>
      <c r="H29" s="956"/>
      <c r="I29" s="956"/>
      <c r="J29" s="956"/>
      <c r="K29" s="957"/>
    </row>
    <row r="30" spans="1:11" ht="14.25">
      <c r="A30" s="1330"/>
      <c r="B30" s="258" t="s">
        <v>241</v>
      </c>
      <c r="C30" s="734">
        <v>7130641396</v>
      </c>
      <c r="D30" s="260" t="s">
        <v>1368</v>
      </c>
      <c r="E30" s="303">
        <v>9</v>
      </c>
      <c r="F30" s="182">
        <f>VLOOKUP(C30,'SOR RATE'!A:D,4,0)</f>
        <v>190</v>
      </c>
      <c r="G30" s="182">
        <f t="shared" si="0"/>
        <v>1710</v>
      </c>
      <c r="H30" s="182">
        <f>+F30</f>
        <v>190</v>
      </c>
      <c r="I30" s="182">
        <f t="shared" si="1"/>
        <v>1710</v>
      </c>
      <c r="J30" s="182">
        <f>+H30</f>
        <v>190</v>
      </c>
      <c r="K30" s="182">
        <f t="shared" si="2"/>
        <v>1710</v>
      </c>
    </row>
    <row r="31" spans="1:11" ht="14.25">
      <c r="A31" s="1331"/>
      <c r="B31" s="258" t="s">
        <v>1334</v>
      </c>
      <c r="C31" s="734">
        <v>7130870043</v>
      </c>
      <c r="D31" s="260" t="s">
        <v>458</v>
      </c>
      <c r="E31" s="321">
        <v>15</v>
      </c>
      <c r="F31" s="182">
        <f>VLOOKUP(C31,'SOR RATE'!A:D,4,0)/1000</f>
        <v>55.094</v>
      </c>
      <c r="G31" s="182">
        <f t="shared" si="0"/>
        <v>826.41</v>
      </c>
      <c r="H31" s="182">
        <f>+F31</f>
        <v>55.094</v>
      </c>
      <c r="I31" s="182">
        <f t="shared" si="1"/>
        <v>826.41</v>
      </c>
      <c r="J31" s="182">
        <f>+H31</f>
        <v>55.094</v>
      </c>
      <c r="K31" s="182">
        <f t="shared" si="2"/>
        <v>826.41</v>
      </c>
    </row>
    <row r="32" spans="1:11" ht="14.25">
      <c r="A32" s="303">
        <v>18</v>
      </c>
      <c r="B32" s="258" t="s">
        <v>242</v>
      </c>
      <c r="C32" s="949">
        <v>7130211158</v>
      </c>
      <c r="D32" s="260" t="s">
        <v>456</v>
      </c>
      <c r="E32" s="303">
        <v>1</v>
      </c>
      <c r="F32" s="182">
        <f>VLOOKUP(C32,'SOR RATE'!A:D,4,0)</f>
        <v>130</v>
      </c>
      <c r="G32" s="182">
        <f t="shared" si="0"/>
        <v>130</v>
      </c>
      <c r="H32" s="182">
        <f>+F32</f>
        <v>130</v>
      </c>
      <c r="I32" s="182">
        <f t="shared" si="1"/>
        <v>130</v>
      </c>
      <c r="J32" s="182">
        <f>+H32</f>
        <v>130</v>
      </c>
      <c r="K32" s="182">
        <f t="shared" si="2"/>
        <v>130</v>
      </c>
    </row>
    <row r="33" spans="1:11" ht="14.25">
      <c r="A33" s="303">
        <v>19</v>
      </c>
      <c r="B33" s="258" t="s">
        <v>1171</v>
      </c>
      <c r="C33" s="259">
        <v>7130210809</v>
      </c>
      <c r="D33" s="260" t="s">
        <v>456</v>
      </c>
      <c r="E33" s="303">
        <v>1</v>
      </c>
      <c r="F33" s="182">
        <f>VLOOKUP(C33,'SOR RATE'!A:D,4,0)</f>
        <v>290</v>
      </c>
      <c r="G33" s="182">
        <f t="shared" si="0"/>
        <v>290</v>
      </c>
      <c r="H33" s="182">
        <f>+F33</f>
        <v>290</v>
      </c>
      <c r="I33" s="182">
        <f t="shared" si="1"/>
        <v>290</v>
      </c>
      <c r="J33" s="182">
        <f>+H33</f>
        <v>290</v>
      </c>
      <c r="K33" s="182">
        <f t="shared" si="2"/>
        <v>290</v>
      </c>
    </row>
    <row r="34" spans="1:13" ht="16.5" customHeight="1">
      <c r="A34" s="303">
        <v>20</v>
      </c>
      <c r="B34" s="134" t="s">
        <v>781</v>
      </c>
      <c r="C34" s="734">
        <v>7130840029</v>
      </c>
      <c r="D34" s="260" t="s">
        <v>1553</v>
      </c>
      <c r="E34" s="303">
        <v>3</v>
      </c>
      <c r="F34" s="182">
        <f>VLOOKUP(C34,'SOR RATE'!A:D,4,0)</f>
        <v>425</v>
      </c>
      <c r="G34" s="182">
        <f t="shared" si="0"/>
        <v>1275</v>
      </c>
      <c r="H34" s="182">
        <f>+F34</f>
        <v>425</v>
      </c>
      <c r="I34" s="182">
        <f t="shared" si="1"/>
        <v>1275</v>
      </c>
      <c r="J34" s="182">
        <f>+H34</f>
        <v>425</v>
      </c>
      <c r="K34" s="182">
        <f t="shared" si="2"/>
        <v>1275</v>
      </c>
      <c r="M34" s="56" t="s">
        <v>1277</v>
      </c>
    </row>
    <row r="35" spans="1:11" ht="14.25">
      <c r="A35" s="1329">
        <v>21</v>
      </c>
      <c r="B35" s="258" t="s">
        <v>459</v>
      </c>
      <c r="C35" s="955"/>
      <c r="D35" s="956"/>
      <c r="E35" s="956"/>
      <c r="F35" s="956"/>
      <c r="G35" s="956"/>
      <c r="H35" s="956"/>
      <c r="I35" s="956"/>
      <c r="J35" s="956"/>
      <c r="K35" s="957"/>
    </row>
    <row r="36" spans="1:11" ht="14.25">
      <c r="A36" s="1330"/>
      <c r="B36" s="258" t="s">
        <v>243</v>
      </c>
      <c r="C36" s="734">
        <v>7130620609</v>
      </c>
      <c r="D36" s="179" t="s">
        <v>458</v>
      </c>
      <c r="E36" s="303">
        <v>1</v>
      </c>
      <c r="F36" s="182">
        <f>VLOOKUP(C36,'SOR RATE'!A:D,4,0)</f>
        <v>64</v>
      </c>
      <c r="G36" s="182">
        <f t="shared" si="0"/>
        <v>64</v>
      </c>
      <c r="H36" s="182">
        <f aca="true" t="shared" si="5" ref="H36:H42">+F36</f>
        <v>64</v>
      </c>
      <c r="I36" s="182">
        <f t="shared" si="1"/>
        <v>64</v>
      </c>
      <c r="J36" s="182">
        <f>+H36</f>
        <v>64</v>
      </c>
      <c r="K36" s="182">
        <f t="shared" si="2"/>
        <v>64</v>
      </c>
    </row>
    <row r="37" spans="1:11" ht="14.25">
      <c r="A37" s="1330"/>
      <c r="B37" s="258" t="s">
        <v>244</v>
      </c>
      <c r="C37" s="734">
        <v>7130620614</v>
      </c>
      <c r="D37" s="179" t="s">
        <v>458</v>
      </c>
      <c r="E37" s="303">
        <v>4</v>
      </c>
      <c r="F37" s="182">
        <f>VLOOKUP(C37,'SOR RATE'!A:D,4,0)</f>
        <v>63</v>
      </c>
      <c r="G37" s="182">
        <f t="shared" si="0"/>
        <v>252</v>
      </c>
      <c r="H37" s="182">
        <f t="shared" si="5"/>
        <v>63</v>
      </c>
      <c r="I37" s="182">
        <f t="shared" si="1"/>
        <v>252</v>
      </c>
      <c r="J37" s="182">
        <f>+H37</f>
        <v>63</v>
      </c>
      <c r="K37" s="182">
        <f t="shared" si="2"/>
        <v>252</v>
      </c>
    </row>
    <row r="38" spans="1:11" ht="14.25">
      <c r="A38" s="1330"/>
      <c r="B38" s="258" t="s">
        <v>245</v>
      </c>
      <c r="C38" s="734">
        <v>7130620625</v>
      </c>
      <c r="D38" s="179" t="s">
        <v>458</v>
      </c>
      <c r="E38" s="303">
        <v>4</v>
      </c>
      <c r="F38" s="182">
        <f>VLOOKUP(C38,'SOR RATE'!A:D,4,0)</f>
        <v>62</v>
      </c>
      <c r="G38" s="182">
        <f t="shared" si="0"/>
        <v>248</v>
      </c>
      <c r="H38" s="182">
        <f t="shared" si="5"/>
        <v>62</v>
      </c>
      <c r="I38" s="182">
        <f t="shared" si="1"/>
        <v>248</v>
      </c>
      <c r="J38" s="182">
        <f>+H38</f>
        <v>62</v>
      </c>
      <c r="K38" s="182">
        <f t="shared" si="2"/>
        <v>248</v>
      </c>
    </row>
    <row r="39" spans="1:11" ht="14.25">
      <c r="A39" s="1331"/>
      <c r="B39" s="258" t="s">
        <v>246</v>
      </c>
      <c r="C39" s="734">
        <v>7130620631</v>
      </c>
      <c r="D39" s="179" t="s">
        <v>458</v>
      </c>
      <c r="E39" s="303">
        <v>5</v>
      </c>
      <c r="F39" s="182">
        <f>VLOOKUP(C39,'SOR RATE'!A:D,4,0)</f>
        <v>62</v>
      </c>
      <c r="G39" s="182">
        <f t="shared" si="0"/>
        <v>310</v>
      </c>
      <c r="H39" s="182">
        <f t="shared" si="5"/>
        <v>62</v>
      </c>
      <c r="I39" s="182">
        <f t="shared" si="1"/>
        <v>310</v>
      </c>
      <c r="J39" s="182">
        <f>+H39</f>
        <v>62</v>
      </c>
      <c r="K39" s="182">
        <f t="shared" si="2"/>
        <v>310</v>
      </c>
    </row>
    <row r="40" spans="1:11" ht="14.25">
      <c r="A40" s="303">
        <v>22</v>
      </c>
      <c r="B40" s="258" t="s">
        <v>247</v>
      </c>
      <c r="C40" s="734">
        <v>7131920253</v>
      </c>
      <c r="D40" s="260" t="s">
        <v>452</v>
      </c>
      <c r="E40" s="303">
        <v>1</v>
      </c>
      <c r="F40" s="182">
        <f>VLOOKUP(C40,'SOR RATE'!A:D,4,0)</f>
        <v>681</v>
      </c>
      <c r="G40" s="182">
        <f t="shared" si="0"/>
        <v>681</v>
      </c>
      <c r="H40" s="182">
        <f t="shared" si="5"/>
        <v>681</v>
      </c>
      <c r="I40" s="182">
        <f t="shared" si="1"/>
        <v>681</v>
      </c>
      <c r="J40" s="182">
        <f>+H40</f>
        <v>681</v>
      </c>
      <c r="K40" s="182">
        <f t="shared" si="2"/>
        <v>681</v>
      </c>
    </row>
    <row r="41" spans="1:11" ht="28.5">
      <c r="A41" s="303">
        <v>23</v>
      </c>
      <c r="B41" s="258" t="s">
        <v>248</v>
      </c>
      <c r="C41" s="303"/>
      <c r="D41" s="303" t="s">
        <v>435</v>
      </c>
      <c r="E41" s="303">
        <v>10</v>
      </c>
      <c r="F41" s="182">
        <f>1.1*121*1.08*1.11</f>
        <v>159.56028000000006</v>
      </c>
      <c r="G41" s="182">
        <f t="shared" si="0"/>
        <v>1595.6028000000006</v>
      </c>
      <c r="H41" s="182">
        <f t="shared" si="5"/>
        <v>159.56028000000006</v>
      </c>
      <c r="I41" s="182">
        <f t="shared" si="1"/>
        <v>1595.6028000000006</v>
      </c>
      <c r="J41" s="182">
        <f>+F41</f>
        <v>159.56028000000006</v>
      </c>
      <c r="K41" s="182">
        <f t="shared" si="2"/>
        <v>1595.6028000000006</v>
      </c>
    </row>
    <row r="42" spans="1:14" ht="31.5" customHeight="1">
      <c r="A42" s="303" t="s">
        <v>763</v>
      </c>
      <c r="B42" s="258" t="s">
        <v>249</v>
      </c>
      <c r="C42" s="734">
        <v>7130310042</v>
      </c>
      <c r="D42" s="303" t="s">
        <v>435</v>
      </c>
      <c r="E42" s="303">
        <v>30</v>
      </c>
      <c r="F42" s="182">
        <f>VLOOKUP(C42,'SOR RATE'!A:D,4,0)/1000</f>
        <v>66.832</v>
      </c>
      <c r="G42" s="182">
        <f t="shared" si="0"/>
        <v>2004.9599999999998</v>
      </c>
      <c r="H42" s="182">
        <f t="shared" si="5"/>
        <v>66.832</v>
      </c>
      <c r="I42" s="182">
        <f t="shared" si="1"/>
        <v>2004.9599999999998</v>
      </c>
      <c r="J42" s="303"/>
      <c r="K42" s="303"/>
      <c r="M42" s="739"/>
      <c r="N42" s="739"/>
    </row>
    <row r="43" spans="1:14" ht="33" customHeight="1">
      <c r="A43" s="303" t="s">
        <v>250</v>
      </c>
      <c r="B43" s="258" t="s">
        <v>251</v>
      </c>
      <c r="C43" s="303">
        <v>7130311084</v>
      </c>
      <c r="D43" s="303" t="s">
        <v>435</v>
      </c>
      <c r="E43" s="303">
        <v>30</v>
      </c>
      <c r="F43" s="303"/>
      <c r="G43" s="303"/>
      <c r="H43" s="303"/>
      <c r="I43" s="303"/>
      <c r="J43" s="182">
        <f>VLOOKUP(C43,'SOR RATE'!A:D,4,0)/1000</f>
        <v>99.916</v>
      </c>
      <c r="K43" s="182">
        <f t="shared" si="2"/>
        <v>2997.48</v>
      </c>
      <c r="M43" s="739"/>
      <c r="N43" s="739"/>
    </row>
    <row r="44" spans="1:11" ht="32.25" customHeight="1">
      <c r="A44" s="303">
        <v>25</v>
      </c>
      <c r="B44" s="258" t="s">
        <v>252</v>
      </c>
      <c r="C44" s="734">
        <v>7130890004</v>
      </c>
      <c r="D44" s="303" t="s">
        <v>803</v>
      </c>
      <c r="E44" s="303">
        <v>1</v>
      </c>
      <c r="F44" s="182">
        <f>VLOOKUP(C44,'SOR RATE'!A:D,4,0)</f>
        <v>4543</v>
      </c>
      <c r="G44" s="182">
        <f t="shared" si="0"/>
        <v>4543</v>
      </c>
      <c r="H44" s="182">
        <f>+F44</f>
        <v>4543</v>
      </c>
      <c r="I44" s="182">
        <f t="shared" si="1"/>
        <v>4543</v>
      </c>
      <c r="J44" s="182">
        <f>+H44</f>
        <v>4543</v>
      </c>
      <c r="K44" s="182">
        <f t="shared" si="2"/>
        <v>4543</v>
      </c>
    </row>
    <row r="45" spans="1:12" ht="15">
      <c r="A45" s="22">
        <v>26</v>
      </c>
      <c r="B45" s="147" t="s">
        <v>1576</v>
      </c>
      <c r="C45" s="320"/>
      <c r="D45" s="303"/>
      <c r="E45" s="303"/>
      <c r="F45" s="303"/>
      <c r="G45" s="319">
        <f>SUM(G9:G44)</f>
        <v>58198.500608</v>
      </c>
      <c r="H45" s="303"/>
      <c r="I45" s="319">
        <f>SUM(I9:I44)</f>
        <v>69041.500608</v>
      </c>
      <c r="J45" s="303"/>
      <c r="K45" s="319">
        <f>SUM(K9:K44)</f>
        <v>79875.020608</v>
      </c>
      <c r="L45" s="103"/>
    </row>
    <row r="46" spans="1:13" ht="16.5" customHeight="1">
      <c r="A46" s="322">
        <v>27</v>
      </c>
      <c r="B46" s="139" t="s">
        <v>1575</v>
      </c>
      <c r="C46" s="955"/>
      <c r="D46" s="956"/>
      <c r="E46" s="956"/>
      <c r="F46" s="303">
        <v>0.09</v>
      </c>
      <c r="G46" s="182">
        <f>G45*F46</f>
        <v>5237.86505472</v>
      </c>
      <c r="H46" s="303">
        <v>0.09</v>
      </c>
      <c r="I46" s="182">
        <f>I45*H46</f>
        <v>6213.73505472</v>
      </c>
      <c r="J46" s="303">
        <v>0.09</v>
      </c>
      <c r="K46" s="182">
        <f>K45*J46</f>
        <v>7188.751854720001</v>
      </c>
      <c r="L46" s="103"/>
      <c r="M46" s="99"/>
    </row>
    <row r="47" spans="1:11" ht="28.5">
      <c r="A47" s="260">
        <v>28</v>
      </c>
      <c r="B47" s="258" t="s">
        <v>253</v>
      </c>
      <c r="C47" s="303"/>
      <c r="D47" s="303" t="s">
        <v>803</v>
      </c>
      <c r="E47" s="303">
        <v>1</v>
      </c>
      <c r="F47" s="137">
        <f>132*1.11*1.0891*1.086275*1.1112*1.0685</f>
        <v>205.81224590423886</v>
      </c>
      <c r="G47" s="182">
        <f>F47*E47</f>
        <v>205.81224590423886</v>
      </c>
      <c r="H47" s="182">
        <f>+F47</f>
        <v>205.81224590423886</v>
      </c>
      <c r="I47" s="182">
        <f>H47*E47</f>
        <v>205.81224590423886</v>
      </c>
      <c r="J47" s="182">
        <f>+F47</f>
        <v>205.81224590423886</v>
      </c>
      <c r="K47" s="182">
        <f>J47*E47</f>
        <v>205.81224590423886</v>
      </c>
    </row>
    <row r="48" spans="1:11" ht="18" customHeight="1">
      <c r="A48" s="260">
        <v>29</v>
      </c>
      <c r="B48" s="258" t="s">
        <v>254</v>
      </c>
      <c r="C48" s="303"/>
      <c r="D48" s="303" t="s">
        <v>454</v>
      </c>
      <c r="E48" s="303">
        <v>1.35</v>
      </c>
      <c r="F48" s="182">
        <f>1664*1.27*1.0891*1.086275*1.1112*1.0685</f>
        <v>2968.460981603261</v>
      </c>
      <c r="G48" s="182">
        <f>F48*E48</f>
        <v>4007.422325164403</v>
      </c>
      <c r="H48" s="182">
        <f>+F48</f>
        <v>2968.460981603261</v>
      </c>
      <c r="I48" s="182">
        <f>H48*E48</f>
        <v>4007.422325164403</v>
      </c>
      <c r="J48" s="182">
        <f>+H48</f>
        <v>2968.460981603261</v>
      </c>
      <c r="K48" s="182">
        <f>J48*E48</f>
        <v>4007.422325164403</v>
      </c>
    </row>
    <row r="49" spans="1:13" ht="18.75" customHeight="1">
      <c r="A49" s="260">
        <v>30</v>
      </c>
      <c r="B49" s="258" t="s">
        <v>756</v>
      </c>
      <c r="C49" s="303"/>
      <c r="D49" s="303"/>
      <c r="E49" s="303"/>
      <c r="F49" s="303"/>
      <c r="G49" s="182">
        <v>5506.51</v>
      </c>
      <c r="H49" s="303"/>
      <c r="I49" s="303">
        <f>+G49</f>
        <v>5506.51</v>
      </c>
      <c r="J49" s="303"/>
      <c r="K49" s="303">
        <f>+G49</f>
        <v>5506.51</v>
      </c>
      <c r="L49" s="35"/>
      <c r="M49" s="958"/>
    </row>
    <row r="50" spans="1:11" ht="32.25" customHeight="1">
      <c r="A50" s="260">
        <v>31</v>
      </c>
      <c r="B50" s="258" t="s">
        <v>255</v>
      </c>
      <c r="C50" s="303"/>
      <c r="D50" s="303"/>
      <c r="E50" s="303"/>
      <c r="F50" s="303"/>
      <c r="G50" s="182">
        <f>1.1*1500*1.2*1.1*1.1797*1.1402*0.9368</f>
        <v>2744.4629585165762</v>
      </c>
      <c r="H50" s="182"/>
      <c r="I50" s="182">
        <f>+G50</f>
        <v>2744.4629585165762</v>
      </c>
      <c r="J50" s="182"/>
      <c r="K50" s="182">
        <f>+I50</f>
        <v>2744.4629585165762</v>
      </c>
    </row>
    <row r="51" spans="1:12" ht="15">
      <c r="A51" s="59">
        <v>32</v>
      </c>
      <c r="B51" s="147" t="s">
        <v>1577</v>
      </c>
      <c r="C51" s="303"/>
      <c r="D51" s="303"/>
      <c r="E51" s="303"/>
      <c r="F51" s="303"/>
      <c r="G51" s="202">
        <f>G45+G46+G47+G48+G49+G50</f>
        <v>75900.57319230522</v>
      </c>
      <c r="H51" s="202"/>
      <c r="I51" s="202">
        <f>I45+I46+I47+I48+I49+I50</f>
        <v>87719.44319230522</v>
      </c>
      <c r="J51" s="202"/>
      <c r="K51" s="202">
        <f>K45+K46+K47+K48+K49+K50</f>
        <v>99527.97999230522</v>
      </c>
      <c r="L51" s="104"/>
    </row>
    <row r="52" spans="1:12" ht="33" customHeight="1">
      <c r="A52" s="260">
        <v>33</v>
      </c>
      <c r="B52" s="139" t="s">
        <v>1578</v>
      </c>
      <c r="C52" s="303"/>
      <c r="D52" s="303"/>
      <c r="E52" s="303"/>
      <c r="F52" s="303">
        <v>0.11</v>
      </c>
      <c r="G52" s="182">
        <f>G45*F52</f>
        <v>6401.83506688</v>
      </c>
      <c r="H52" s="182">
        <v>0.11</v>
      </c>
      <c r="I52" s="182">
        <f>I45*H52</f>
        <v>7594.56506688</v>
      </c>
      <c r="J52" s="182">
        <v>0.11</v>
      </c>
      <c r="K52" s="182">
        <f>K45*J52</f>
        <v>8786.252266880001</v>
      </c>
      <c r="L52" s="104"/>
    </row>
    <row r="53" spans="1:11" ht="14.25">
      <c r="A53" s="260">
        <v>34</v>
      </c>
      <c r="B53" s="258" t="s">
        <v>256</v>
      </c>
      <c r="C53" s="303"/>
      <c r="D53" s="303"/>
      <c r="E53" s="303"/>
      <c r="F53" s="303"/>
      <c r="G53" s="137">
        <f>G51+G52</f>
        <v>82302.40825918522</v>
      </c>
      <c r="H53" s="135"/>
      <c r="I53" s="137">
        <f>I51+I52</f>
        <v>95314.00825918521</v>
      </c>
      <c r="J53" s="135"/>
      <c r="K53" s="137">
        <f>K51+K52</f>
        <v>108314.23225918523</v>
      </c>
    </row>
    <row r="54" spans="1:11" ht="33" customHeight="1">
      <c r="A54" s="59">
        <v>35</v>
      </c>
      <c r="B54" s="234" t="s">
        <v>257</v>
      </c>
      <c r="C54" s="22"/>
      <c r="D54" s="22"/>
      <c r="E54" s="22"/>
      <c r="F54" s="22"/>
      <c r="G54" s="202">
        <f>ROUND(G53,0)</f>
        <v>82302</v>
      </c>
      <c r="H54" s="202"/>
      <c r="I54" s="202">
        <f>ROUND(I53,0)</f>
        <v>95314</v>
      </c>
      <c r="J54" s="202"/>
      <c r="K54" s="202">
        <f>ROUND(K53,0)</f>
        <v>108314</v>
      </c>
    </row>
    <row r="57" spans="2:13" ht="20.25" customHeight="1">
      <c r="B57" s="5"/>
      <c r="C57" s="5"/>
      <c r="D57" s="109"/>
      <c r="M57" s="5"/>
    </row>
    <row r="58" spans="2:4" ht="18.75" customHeight="1">
      <c r="B58" s="5"/>
      <c r="C58" s="5"/>
      <c r="D58" s="109"/>
    </row>
    <row r="78" spans="2:3" ht="15.75">
      <c r="B78" s="1145" t="s">
        <v>549</v>
      </c>
      <c r="C78" s="1145"/>
    </row>
    <row r="80" spans="2:4" ht="14.25">
      <c r="B80" s="258" t="s">
        <v>854</v>
      </c>
      <c r="C80" s="949">
        <v>7130820155</v>
      </c>
      <c r="D80" s="260" t="s">
        <v>452</v>
      </c>
    </row>
  </sheetData>
  <sheetProtection/>
  <mergeCells count="17">
    <mergeCell ref="M13:N13"/>
    <mergeCell ref="B78:C78"/>
    <mergeCell ref="A29:A31"/>
    <mergeCell ref="A35:A39"/>
    <mergeCell ref="A17:A18"/>
    <mergeCell ref="A20:A22"/>
    <mergeCell ref="A23:A24"/>
    <mergeCell ref="D1:H1"/>
    <mergeCell ref="B3:J3"/>
    <mergeCell ref="A6:A7"/>
    <mergeCell ref="B6:B7"/>
    <mergeCell ref="C6:C7"/>
    <mergeCell ref="D6:D7"/>
    <mergeCell ref="E6:E7"/>
    <mergeCell ref="F6:G6"/>
    <mergeCell ref="H6:I6"/>
    <mergeCell ref="J6:K6"/>
  </mergeCells>
  <conditionalFormatting sqref="B45:B46">
    <cfRule type="cellIs" priority="1" dxfId="0" operator="equal" stopIfTrue="1">
      <formula>"?"</formula>
    </cfRule>
  </conditionalFormatting>
  <printOptions horizontalCentered="1"/>
  <pageMargins left="0.85" right="0.16" top="0.69" bottom="0.3" header="0.49" footer="0.15"/>
  <pageSetup horizontalDpi="600" verticalDpi="600" orientation="landscape" paperSize="9" r:id="rId1"/>
  <rowBreaks count="1" manualBreakCount="1">
    <brk id="2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V62"/>
  <sheetViews>
    <sheetView zoomScale="115" zoomScaleNormal="115" zoomScalePageLayoutView="0" workbookViewId="0" topLeftCell="A1">
      <pane xSplit="5" ySplit="7" topLeftCell="F56" activePane="bottomRight" state="frozen"/>
      <selection pane="topLeft" activeCell="L6" sqref="L6"/>
      <selection pane="topRight" activeCell="L6" sqref="L6"/>
      <selection pane="bottomLeft" activeCell="L6" sqref="L6"/>
      <selection pane="bottomRight" activeCell="M63" sqref="M63"/>
    </sheetView>
  </sheetViews>
  <sheetFormatPr defaultColWidth="9.140625" defaultRowHeight="12.75"/>
  <cols>
    <col min="1" max="1" width="3.8515625" style="36" customWidth="1"/>
    <col min="2" max="2" width="37.7109375" style="1" customWidth="1"/>
    <col min="3" max="3" width="12.28125" style="1" customWidth="1"/>
    <col min="4" max="4" width="7.8515625" style="1" customWidth="1"/>
    <col min="5" max="5" width="10.140625" style="1" bestFit="1" customWidth="1"/>
    <col min="6" max="6" width="5.57421875" style="1" customWidth="1"/>
    <col min="7" max="7" width="10.421875" style="1" customWidth="1"/>
    <col min="8" max="8" width="5.57421875" style="1" bestFit="1" customWidth="1"/>
    <col min="9" max="9" width="10.28125" style="1" customWidth="1"/>
    <col min="10" max="10" width="5.7109375" style="1" customWidth="1"/>
    <col min="11" max="11" width="10.57421875" style="1" customWidth="1"/>
    <col min="12" max="12" width="8.7109375" style="1" customWidth="1"/>
    <col min="13" max="13" width="21.8515625" style="1" customWidth="1"/>
    <col min="14" max="14" width="12.140625" style="1" customWidth="1"/>
    <col min="15" max="15" width="3.28125" style="1" customWidth="1"/>
    <col min="16" max="16" width="3.421875" style="1" customWidth="1"/>
    <col min="17" max="17" width="4.57421875" style="1" customWidth="1"/>
    <col min="18" max="16384" width="9.140625" style="1" customWidth="1"/>
  </cols>
  <sheetData>
    <row r="1" spans="2:11" ht="16.5" customHeight="1">
      <c r="B1" s="57"/>
      <c r="C1" s="1153" t="s">
        <v>258</v>
      </c>
      <c r="D1" s="1153"/>
      <c r="E1" s="1153"/>
      <c r="F1" s="1153"/>
      <c r="G1" s="1153"/>
      <c r="H1" s="57"/>
      <c r="I1" s="57"/>
      <c r="J1" s="57"/>
      <c r="K1" s="57"/>
    </row>
    <row r="2" spans="2:11" ht="12.75" customHeight="1">
      <c r="B2" s="57"/>
      <c r="C2" s="38"/>
      <c r="D2" s="38"/>
      <c r="E2" s="38"/>
      <c r="F2" s="38"/>
      <c r="G2" s="38"/>
      <c r="H2" s="57"/>
      <c r="I2" s="57"/>
      <c r="J2" s="1337" t="s">
        <v>551</v>
      </c>
      <c r="K2" s="1337"/>
    </row>
    <row r="3" spans="3:12" ht="15.75" customHeight="1">
      <c r="C3" s="1338" t="s">
        <v>259</v>
      </c>
      <c r="D3" s="1338"/>
      <c r="E3" s="1338"/>
      <c r="F3" s="1338"/>
      <c r="G3" s="1338"/>
      <c r="H3" s="1338"/>
      <c r="I3" s="1338"/>
      <c r="J3" s="959"/>
      <c r="K3" s="959"/>
      <c r="L3" s="959"/>
    </row>
    <row r="4" spans="2:11" ht="14.25" customHeight="1">
      <c r="B4" s="57"/>
      <c r="C4" s="38"/>
      <c r="D4" s="38"/>
      <c r="E4" s="38"/>
      <c r="F4" s="38"/>
      <c r="G4" s="38"/>
      <c r="H4" s="57"/>
      <c r="I4" s="57"/>
      <c r="J4" s="57"/>
      <c r="K4" s="57"/>
    </row>
    <row r="5" spans="1:11" ht="12.75">
      <c r="A5" s="1252" t="s">
        <v>1335</v>
      </c>
      <c r="B5" s="1252" t="s">
        <v>449</v>
      </c>
      <c r="C5" s="1252" t="s">
        <v>260</v>
      </c>
      <c r="D5" s="1252" t="s">
        <v>450</v>
      </c>
      <c r="E5" s="1252" t="s">
        <v>1309</v>
      </c>
      <c r="F5" s="1252" t="s">
        <v>261</v>
      </c>
      <c r="G5" s="1252"/>
      <c r="H5" s="1252" t="s">
        <v>262</v>
      </c>
      <c r="I5" s="1252"/>
      <c r="J5" s="1252" t="s">
        <v>263</v>
      </c>
      <c r="K5" s="1252"/>
    </row>
    <row r="6" spans="1:13" ht="12.75">
      <c r="A6" s="1252"/>
      <c r="B6" s="1252"/>
      <c r="C6" s="1252"/>
      <c r="D6" s="1252"/>
      <c r="E6" s="1252"/>
      <c r="F6" s="67" t="s">
        <v>1370</v>
      </c>
      <c r="G6" s="67" t="s">
        <v>800</v>
      </c>
      <c r="H6" s="67" t="s">
        <v>1370</v>
      </c>
      <c r="I6" s="67" t="s">
        <v>800</v>
      </c>
      <c r="J6" s="67" t="s">
        <v>1370</v>
      </c>
      <c r="K6" s="67" t="s">
        <v>800</v>
      </c>
      <c r="M6" s="363"/>
    </row>
    <row r="7" spans="1:13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M7" s="363"/>
    </row>
    <row r="8" spans="1:11" ht="38.25" customHeight="1">
      <c r="A8" s="217">
        <v>1</v>
      </c>
      <c r="B8" s="207" t="s">
        <v>264</v>
      </c>
      <c r="C8" s="285">
        <v>7130600675</v>
      </c>
      <c r="D8" s="672" t="s">
        <v>458</v>
      </c>
      <c r="E8" s="160">
        <f>VLOOKUP(C8,'SOR RATE'!A:D,4,0)/1000</f>
        <v>44.989</v>
      </c>
      <c r="F8" s="162">
        <v>429</v>
      </c>
      <c r="G8" s="160">
        <f>F8*E8</f>
        <v>19300.281</v>
      </c>
      <c r="H8" s="162">
        <v>429</v>
      </c>
      <c r="I8" s="160">
        <f>H8*E8</f>
        <v>19300.281</v>
      </c>
      <c r="J8" s="162"/>
      <c r="K8" s="160"/>
    </row>
    <row r="9" spans="1:11" ht="30" customHeight="1">
      <c r="A9" s="217">
        <v>2</v>
      </c>
      <c r="B9" s="213" t="s">
        <v>265</v>
      </c>
      <c r="C9" s="285">
        <v>7130601958</v>
      </c>
      <c r="D9" s="644" t="s">
        <v>458</v>
      </c>
      <c r="E9" s="160">
        <f>VLOOKUP(C9,'SOR RATE'!A:D,4,0)/1000</f>
        <v>44.989</v>
      </c>
      <c r="F9" s="162"/>
      <c r="G9" s="160"/>
      <c r="H9" s="162"/>
      <c r="I9" s="160"/>
      <c r="J9" s="162">
        <v>964.6</v>
      </c>
      <c r="K9" s="160">
        <f>J9*E9</f>
        <v>43396.3894</v>
      </c>
    </row>
    <row r="10" spans="1:11" ht="12.75" customHeight="1">
      <c r="A10" s="1332">
        <v>3</v>
      </c>
      <c r="B10" s="960" t="s">
        <v>266</v>
      </c>
      <c r="C10" s="960"/>
      <c r="D10" s="268"/>
      <c r="E10" s="160"/>
      <c r="F10" s="268"/>
      <c r="G10" s="268"/>
      <c r="H10" s="268"/>
      <c r="I10" s="268"/>
      <c r="J10" s="268"/>
      <c r="K10" s="269"/>
    </row>
    <row r="11" spans="1:15" ht="12.75">
      <c r="A11" s="1333"/>
      <c r="B11" s="163" t="s">
        <v>754</v>
      </c>
      <c r="C11" s="636">
        <v>7132210009</v>
      </c>
      <c r="D11" s="286" t="s">
        <v>1553</v>
      </c>
      <c r="E11" s="160">
        <f>VLOOKUP(C11,'SOR RATE'!A:D,4,0)</f>
        <v>88254</v>
      </c>
      <c r="F11" s="162">
        <v>1</v>
      </c>
      <c r="G11" s="160">
        <f aca="true" t="shared" si="0" ref="G11:G50">F11*E11</f>
        <v>88254</v>
      </c>
      <c r="H11" s="162"/>
      <c r="I11" s="160"/>
      <c r="J11" s="162"/>
      <c r="K11" s="160"/>
      <c r="L11" s="323"/>
      <c r="M11" s="1078" t="s">
        <v>1276</v>
      </c>
      <c r="N11" s="600"/>
      <c r="O11" s="600"/>
    </row>
    <row r="12" spans="1:12" ht="15" customHeight="1">
      <c r="A12" s="1333"/>
      <c r="B12" s="163" t="s">
        <v>267</v>
      </c>
      <c r="C12" s="636">
        <v>7132210010</v>
      </c>
      <c r="D12" s="286" t="s">
        <v>1553</v>
      </c>
      <c r="E12" s="160">
        <f>VLOOKUP(C12,'SOR RATE'!A:D,4,0)</f>
        <v>119054</v>
      </c>
      <c r="F12" s="162"/>
      <c r="G12" s="160"/>
      <c r="H12" s="162">
        <v>1</v>
      </c>
      <c r="I12" s="160">
        <f aca="true" t="shared" si="1" ref="I12:I50">H12*E12</f>
        <v>119054</v>
      </c>
      <c r="J12" s="162"/>
      <c r="K12" s="160"/>
      <c r="L12" s="512"/>
    </row>
    <row r="13" spans="1:12" ht="16.5" customHeight="1">
      <c r="A13" s="1334"/>
      <c r="B13" s="163" t="s">
        <v>268</v>
      </c>
      <c r="C13" s="636">
        <v>7132210011</v>
      </c>
      <c r="D13" s="286" t="s">
        <v>1553</v>
      </c>
      <c r="E13" s="160">
        <f>VLOOKUP(C13,'SOR RATE'!A:D,4,0)</f>
        <v>220748</v>
      </c>
      <c r="F13" s="162"/>
      <c r="G13" s="160"/>
      <c r="H13" s="162"/>
      <c r="I13" s="160"/>
      <c r="J13" s="162">
        <v>1</v>
      </c>
      <c r="K13" s="160">
        <f aca="true" t="shared" si="2" ref="K13:K50">J13*E13</f>
        <v>220748</v>
      </c>
      <c r="L13" s="512"/>
    </row>
    <row r="14" spans="1:17" ht="14.25">
      <c r="A14" s="217">
        <v>4</v>
      </c>
      <c r="B14" s="163" t="s">
        <v>269</v>
      </c>
      <c r="C14" s="636">
        <v>7130810517</v>
      </c>
      <c r="D14" s="286" t="s">
        <v>452</v>
      </c>
      <c r="E14" s="160">
        <f>VLOOKUP(C14,'SOR RATE'!A:D,4,0)</f>
        <v>4547</v>
      </c>
      <c r="F14" s="162">
        <v>1</v>
      </c>
      <c r="G14" s="160">
        <f t="shared" si="0"/>
        <v>4547</v>
      </c>
      <c r="H14" s="162">
        <v>1</v>
      </c>
      <c r="I14" s="160">
        <f t="shared" si="1"/>
        <v>4547</v>
      </c>
      <c r="J14" s="162">
        <v>1</v>
      </c>
      <c r="K14" s="160">
        <f t="shared" si="2"/>
        <v>4547</v>
      </c>
      <c r="M14" s="302"/>
      <c r="N14" s="98"/>
      <c r="O14" s="98"/>
      <c r="P14" s="98"/>
      <c r="Q14" s="98"/>
    </row>
    <row r="15" spans="1:14" ht="12.75">
      <c r="A15" s="1332">
        <v>5</v>
      </c>
      <c r="B15" s="1079" t="s">
        <v>1030</v>
      </c>
      <c r="C15" s="1080">
        <v>7130820010</v>
      </c>
      <c r="D15" s="286" t="s">
        <v>452</v>
      </c>
      <c r="E15" s="160">
        <f>VLOOKUP(C15,'SOR RATE'!A:D,4,0)</f>
        <v>140</v>
      </c>
      <c r="F15" s="162">
        <v>3</v>
      </c>
      <c r="G15" s="160">
        <f t="shared" si="0"/>
        <v>420</v>
      </c>
      <c r="H15" s="162">
        <v>3</v>
      </c>
      <c r="I15" s="160">
        <f t="shared" si="1"/>
        <v>420</v>
      </c>
      <c r="J15" s="162">
        <v>3</v>
      </c>
      <c r="K15" s="160">
        <f t="shared" si="2"/>
        <v>420</v>
      </c>
      <c r="M15" s="1336" t="s">
        <v>1031</v>
      </c>
      <c r="N15" s="1336"/>
    </row>
    <row r="16" spans="1:11" ht="12.75">
      <c r="A16" s="1334"/>
      <c r="B16" s="163" t="s">
        <v>11</v>
      </c>
      <c r="C16" s="291">
        <v>7130820241</v>
      </c>
      <c r="D16" s="286" t="s">
        <v>452</v>
      </c>
      <c r="E16" s="160">
        <f>VLOOKUP(C16,'SOR RATE'!A:D,4,0)</f>
        <v>123</v>
      </c>
      <c r="F16" s="162">
        <v>3</v>
      </c>
      <c r="G16" s="160">
        <f t="shared" si="0"/>
        <v>369</v>
      </c>
      <c r="H16" s="162">
        <v>3</v>
      </c>
      <c r="I16" s="160">
        <f t="shared" si="1"/>
        <v>369</v>
      </c>
      <c r="J16" s="162">
        <v>3</v>
      </c>
      <c r="K16" s="160">
        <f t="shared" si="2"/>
        <v>369</v>
      </c>
    </row>
    <row r="17" spans="1:13" ht="25.5">
      <c r="A17" s="217">
        <v>6</v>
      </c>
      <c r="B17" s="163" t="s">
        <v>270</v>
      </c>
      <c r="C17" s="295">
        <v>7130810509</v>
      </c>
      <c r="D17" s="611" t="s">
        <v>452</v>
      </c>
      <c r="E17" s="160">
        <f>VLOOKUP(C17,'SOR RATE'!A205:D205,4,0)</f>
        <v>3322</v>
      </c>
      <c r="F17" s="162">
        <v>1</v>
      </c>
      <c r="G17" s="160">
        <f t="shared" si="0"/>
        <v>3322</v>
      </c>
      <c r="H17" s="162">
        <v>1</v>
      </c>
      <c r="I17" s="160">
        <f t="shared" si="1"/>
        <v>3322</v>
      </c>
      <c r="J17" s="162">
        <v>1</v>
      </c>
      <c r="K17" s="160">
        <f t="shared" si="2"/>
        <v>3322</v>
      </c>
      <c r="M17" s="53"/>
    </row>
    <row r="18" spans="1:11" ht="15.75" customHeight="1">
      <c r="A18" s="217">
        <v>7</v>
      </c>
      <c r="B18" s="163" t="s">
        <v>271</v>
      </c>
      <c r="C18" s="636">
        <v>7131930412</v>
      </c>
      <c r="D18" s="286" t="s">
        <v>1553</v>
      </c>
      <c r="E18" s="160">
        <f>VLOOKUP(C18,'SOR RATE'!A:D,4,0)</f>
        <v>1199</v>
      </c>
      <c r="F18" s="162">
        <v>3</v>
      </c>
      <c r="G18" s="160">
        <f t="shared" si="0"/>
        <v>3597</v>
      </c>
      <c r="H18" s="162">
        <v>3</v>
      </c>
      <c r="I18" s="160">
        <f t="shared" si="1"/>
        <v>3597</v>
      </c>
      <c r="J18" s="162">
        <v>3</v>
      </c>
      <c r="K18" s="160">
        <f t="shared" si="2"/>
        <v>3597</v>
      </c>
    </row>
    <row r="19" spans="1:11" ht="15" customHeight="1">
      <c r="A19" s="217">
        <v>8</v>
      </c>
      <c r="B19" s="163" t="s">
        <v>272</v>
      </c>
      <c r="C19" s="644">
        <v>7130600023</v>
      </c>
      <c r="D19" s="644" t="s">
        <v>458</v>
      </c>
      <c r="E19" s="160">
        <f>VLOOKUP(C19,'SOR RATE'!A:D,4,0)/1000</f>
        <v>40.214</v>
      </c>
      <c r="F19" s="162">
        <v>20</v>
      </c>
      <c r="G19" s="160">
        <f t="shared" si="0"/>
        <v>804.28</v>
      </c>
      <c r="H19" s="162">
        <v>20</v>
      </c>
      <c r="I19" s="160">
        <f t="shared" si="1"/>
        <v>804.28</v>
      </c>
      <c r="J19" s="162">
        <v>20</v>
      </c>
      <c r="K19" s="160">
        <f t="shared" si="2"/>
        <v>804.28</v>
      </c>
    </row>
    <row r="20" spans="1:11" ht="12.75">
      <c r="A20" s="1332">
        <v>9</v>
      </c>
      <c r="B20" s="163" t="s">
        <v>303</v>
      </c>
      <c r="C20" s="636">
        <v>7130860032</v>
      </c>
      <c r="D20" s="286" t="s">
        <v>452</v>
      </c>
      <c r="E20" s="160">
        <f>VLOOKUP(C20,'SOR RATE'!A:D,4,0)</f>
        <v>387</v>
      </c>
      <c r="F20" s="162">
        <v>4</v>
      </c>
      <c r="G20" s="160">
        <f t="shared" si="0"/>
        <v>1548</v>
      </c>
      <c r="H20" s="162">
        <v>4</v>
      </c>
      <c r="I20" s="160">
        <f t="shared" si="1"/>
        <v>1548</v>
      </c>
      <c r="J20" s="162">
        <v>4</v>
      </c>
      <c r="K20" s="160">
        <f t="shared" si="2"/>
        <v>1548</v>
      </c>
    </row>
    <row r="21" spans="1:11" ht="15" customHeight="1">
      <c r="A21" s="1333"/>
      <c r="B21" s="163" t="s">
        <v>273</v>
      </c>
      <c r="C21" s="636">
        <v>7130860077</v>
      </c>
      <c r="D21" s="286" t="s">
        <v>458</v>
      </c>
      <c r="E21" s="160">
        <f>VLOOKUP(C21,'SOR RATE'!A:D,4,0)/1000</f>
        <v>61.6</v>
      </c>
      <c r="F21" s="162">
        <v>30</v>
      </c>
      <c r="G21" s="160">
        <f t="shared" si="0"/>
        <v>1848</v>
      </c>
      <c r="H21" s="162">
        <v>30</v>
      </c>
      <c r="I21" s="160">
        <f t="shared" si="1"/>
        <v>1848</v>
      </c>
      <c r="J21" s="162">
        <v>30</v>
      </c>
      <c r="K21" s="160">
        <f t="shared" si="2"/>
        <v>1848</v>
      </c>
    </row>
    <row r="22" spans="1:13" ht="12.75">
      <c r="A22" s="1333"/>
      <c r="B22" s="163" t="s">
        <v>274</v>
      </c>
      <c r="C22" s="162">
        <v>7130810216</v>
      </c>
      <c r="D22" s="159" t="s">
        <v>452</v>
      </c>
      <c r="E22" s="160">
        <f>VLOOKUP(C22,'SOR RATE'!A:D,4,0)</f>
        <v>282</v>
      </c>
      <c r="F22" s="162">
        <v>4</v>
      </c>
      <c r="G22" s="160">
        <f t="shared" si="0"/>
        <v>1128</v>
      </c>
      <c r="H22" s="162">
        <v>4</v>
      </c>
      <c r="I22" s="160">
        <f t="shared" si="1"/>
        <v>1128</v>
      </c>
      <c r="J22" s="162"/>
      <c r="K22" s="160"/>
      <c r="M22" s="95"/>
    </row>
    <row r="23" spans="1:13" ht="12.75">
      <c r="A23" s="1334"/>
      <c r="B23" s="163" t="s">
        <v>275</v>
      </c>
      <c r="C23" s="164">
        <v>7130810692</v>
      </c>
      <c r="D23" s="159" t="s">
        <v>452</v>
      </c>
      <c r="E23" s="160">
        <f>VLOOKUP(C23,'SOR RATE'!A:D,4,0)</f>
        <v>294</v>
      </c>
      <c r="F23" s="162"/>
      <c r="G23" s="160"/>
      <c r="H23" s="162"/>
      <c r="I23" s="160"/>
      <c r="J23" s="162">
        <v>4</v>
      </c>
      <c r="K23" s="160">
        <f t="shared" si="2"/>
        <v>1176</v>
      </c>
      <c r="M23" s="53"/>
    </row>
    <row r="24" spans="1:11" ht="44.25" customHeight="1">
      <c r="A24" s="1332">
        <v>10</v>
      </c>
      <c r="B24" s="163" t="s">
        <v>276</v>
      </c>
      <c r="C24" s="162"/>
      <c r="D24" s="162" t="s">
        <v>801</v>
      </c>
      <c r="E24" s="961"/>
      <c r="F24" s="166">
        <v>10.4</v>
      </c>
      <c r="G24" s="160"/>
      <c r="H24" s="166">
        <v>10.4</v>
      </c>
      <c r="I24" s="160"/>
      <c r="J24" s="166">
        <v>10.8</v>
      </c>
      <c r="K24" s="160"/>
    </row>
    <row r="25" spans="1:11" ht="15.75" customHeight="1">
      <c r="A25" s="1334"/>
      <c r="B25" s="163" t="s">
        <v>586</v>
      </c>
      <c r="C25" s="280">
        <v>7130200401</v>
      </c>
      <c r="D25" s="335" t="s">
        <v>458</v>
      </c>
      <c r="E25" s="160">
        <f>VLOOKUP(C25,'SOR RATE'!A:D,4,0)/50</f>
        <v>5.36</v>
      </c>
      <c r="F25" s="162">
        <v>2163</v>
      </c>
      <c r="G25" s="160">
        <f>F25*E25</f>
        <v>11593.68</v>
      </c>
      <c r="H25" s="162">
        <v>2163</v>
      </c>
      <c r="I25" s="160">
        <f>H25*E25</f>
        <v>11593.68</v>
      </c>
      <c r="J25" s="162">
        <v>2250</v>
      </c>
      <c r="K25" s="160">
        <f>J25*E25</f>
        <v>12060</v>
      </c>
    </row>
    <row r="26" spans="1:11" ht="12.75">
      <c r="A26" s="217">
        <v>11</v>
      </c>
      <c r="B26" s="163" t="s">
        <v>292</v>
      </c>
      <c r="C26" s="962">
        <v>7130880041</v>
      </c>
      <c r="D26" s="204" t="s">
        <v>1553</v>
      </c>
      <c r="E26" s="160">
        <f>VLOOKUP(C26,'SOR RATE'!A:D,4,0)</f>
        <v>74</v>
      </c>
      <c r="F26" s="162">
        <v>1</v>
      </c>
      <c r="G26" s="160">
        <f t="shared" si="0"/>
        <v>74</v>
      </c>
      <c r="H26" s="162">
        <v>1</v>
      </c>
      <c r="I26" s="160">
        <f t="shared" si="1"/>
        <v>74</v>
      </c>
      <c r="J26" s="162">
        <v>1</v>
      </c>
      <c r="K26" s="160">
        <f t="shared" si="2"/>
        <v>74</v>
      </c>
    </row>
    <row r="27" spans="1:11" ht="12.75">
      <c r="A27" s="1332">
        <v>12</v>
      </c>
      <c r="B27" s="960" t="s">
        <v>587</v>
      </c>
      <c r="C27" s="268"/>
      <c r="D27" s="268"/>
      <c r="E27" s="268"/>
      <c r="F27" s="268"/>
      <c r="G27" s="268"/>
      <c r="H27" s="268"/>
      <c r="I27" s="268"/>
      <c r="J27" s="268"/>
      <c r="K27" s="269"/>
    </row>
    <row r="28" spans="1:11" ht="12.75">
      <c r="A28" s="1333"/>
      <c r="B28" s="163" t="s">
        <v>199</v>
      </c>
      <c r="C28" s="636">
        <v>7130641396</v>
      </c>
      <c r="D28" s="286" t="s">
        <v>1368</v>
      </c>
      <c r="E28" s="160">
        <f>VLOOKUP(C28,'SOR RATE'!A:D,4,0)</f>
        <v>190</v>
      </c>
      <c r="F28" s="162">
        <v>9</v>
      </c>
      <c r="G28" s="160">
        <f t="shared" si="0"/>
        <v>1710</v>
      </c>
      <c r="H28" s="162">
        <v>9</v>
      </c>
      <c r="I28" s="160">
        <f t="shared" si="1"/>
        <v>1710</v>
      </c>
      <c r="J28" s="162">
        <v>9</v>
      </c>
      <c r="K28" s="160">
        <f t="shared" si="2"/>
        <v>1710</v>
      </c>
    </row>
    <row r="29" spans="1:11" ht="12.75">
      <c r="A29" s="1334"/>
      <c r="B29" s="163" t="s">
        <v>1334</v>
      </c>
      <c r="C29" s="636">
        <v>7130870043</v>
      </c>
      <c r="D29" s="286" t="s">
        <v>458</v>
      </c>
      <c r="E29" s="160">
        <f>VLOOKUP(C29,'SOR RATE'!A:D,4,0)/1000</f>
        <v>55.094</v>
      </c>
      <c r="F29" s="162">
        <v>15</v>
      </c>
      <c r="G29" s="160">
        <f t="shared" si="0"/>
        <v>826.41</v>
      </c>
      <c r="H29" s="162">
        <v>15</v>
      </c>
      <c r="I29" s="160">
        <f t="shared" si="1"/>
        <v>826.41</v>
      </c>
      <c r="J29" s="162">
        <v>15</v>
      </c>
      <c r="K29" s="160">
        <f t="shared" si="2"/>
        <v>826.41</v>
      </c>
    </row>
    <row r="30" spans="1:13" ht="16.5" customHeight="1">
      <c r="A30" s="217">
        <v>13</v>
      </c>
      <c r="B30" s="158" t="s">
        <v>308</v>
      </c>
      <c r="C30" s="164">
        <v>7130610206</v>
      </c>
      <c r="D30" s="210" t="s">
        <v>458</v>
      </c>
      <c r="E30" s="160">
        <f>VLOOKUP(C30,'SOR RATE'!A:D,4,0)/1000</f>
        <v>66.528</v>
      </c>
      <c r="F30" s="162">
        <v>2</v>
      </c>
      <c r="G30" s="160">
        <f t="shared" si="0"/>
        <v>133.056</v>
      </c>
      <c r="H30" s="162">
        <v>2</v>
      </c>
      <c r="I30" s="160">
        <f t="shared" si="1"/>
        <v>133.056</v>
      </c>
      <c r="J30" s="162">
        <v>2</v>
      </c>
      <c r="K30" s="160">
        <f t="shared" si="2"/>
        <v>133.056</v>
      </c>
      <c r="L30" s="106"/>
      <c r="M30" s="64"/>
    </row>
    <row r="31" spans="1:11" ht="12.75">
      <c r="A31" s="217">
        <v>14</v>
      </c>
      <c r="B31" s="163" t="s">
        <v>242</v>
      </c>
      <c r="C31" s="291">
        <v>7130211158</v>
      </c>
      <c r="D31" s="204" t="s">
        <v>456</v>
      </c>
      <c r="E31" s="160">
        <f>VLOOKUP(C31,'SOR RATE'!A:D,4,0)</f>
        <v>130</v>
      </c>
      <c r="F31" s="162">
        <v>2</v>
      </c>
      <c r="G31" s="160">
        <f t="shared" si="0"/>
        <v>260</v>
      </c>
      <c r="H31" s="162">
        <v>2</v>
      </c>
      <c r="I31" s="160">
        <f t="shared" si="1"/>
        <v>260</v>
      </c>
      <c r="J31" s="162">
        <v>2</v>
      </c>
      <c r="K31" s="160">
        <f t="shared" si="2"/>
        <v>260</v>
      </c>
    </row>
    <row r="32" spans="1:11" ht="12.75">
      <c r="A32" s="217">
        <v>15</v>
      </c>
      <c r="B32" s="163" t="s">
        <v>1171</v>
      </c>
      <c r="C32" s="962">
        <v>7130210809</v>
      </c>
      <c r="D32" s="204" t="s">
        <v>456</v>
      </c>
      <c r="E32" s="160">
        <f>VLOOKUP(C32,'SOR RATE'!A:D,4,0)</f>
        <v>290</v>
      </c>
      <c r="F32" s="162">
        <v>2</v>
      </c>
      <c r="G32" s="160">
        <f t="shared" si="0"/>
        <v>580</v>
      </c>
      <c r="H32" s="162">
        <v>2</v>
      </c>
      <c r="I32" s="160">
        <f t="shared" si="1"/>
        <v>580</v>
      </c>
      <c r="J32" s="162">
        <v>2</v>
      </c>
      <c r="K32" s="160">
        <f t="shared" si="2"/>
        <v>580</v>
      </c>
    </row>
    <row r="33" spans="1:13" ht="12.75">
      <c r="A33" s="217">
        <v>16</v>
      </c>
      <c r="B33" s="213" t="s">
        <v>781</v>
      </c>
      <c r="C33" s="636">
        <v>7130840029</v>
      </c>
      <c r="D33" s="286" t="s">
        <v>1553</v>
      </c>
      <c r="E33" s="160">
        <f>VLOOKUP(C33,'SOR RATE'!A:D,4,0)</f>
        <v>425</v>
      </c>
      <c r="F33" s="162">
        <v>3</v>
      </c>
      <c r="G33" s="160">
        <f t="shared" si="0"/>
        <v>1275</v>
      </c>
      <c r="H33" s="162">
        <v>3</v>
      </c>
      <c r="I33" s="160">
        <f t="shared" si="1"/>
        <v>1275</v>
      </c>
      <c r="J33" s="162">
        <v>3</v>
      </c>
      <c r="K33" s="160">
        <f t="shared" si="2"/>
        <v>1275</v>
      </c>
      <c r="M33" s="1081" t="s">
        <v>1277</v>
      </c>
    </row>
    <row r="34" spans="1:11" ht="12.75">
      <c r="A34" s="1332">
        <v>17</v>
      </c>
      <c r="B34" s="960" t="s">
        <v>588</v>
      </c>
      <c r="C34" s="963"/>
      <c r="D34" s="162"/>
      <c r="E34" s="160"/>
      <c r="F34" s="162">
        <v>14</v>
      </c>
      <c r="G34" s="160"/>
      <c r="H34" s="162">
        <v>14</v>
      </c>
      <c r="I34" s="160"/>
      <c r="J34" s="162">
        <v>14</v>
      </c>
      <c r="K34" s="160"/>
    </row>
    <row r="35" spans="1:11" ht="12.75">
      <c r="A35" s="1333"/>
      <c r="B35" s="163" t="s">
        <v>589</v>
      </c>
      <c r="C35" s="636">
        <v>7130620609</v>
      </c>
      <c r="D35" s="672" t="s">
        <v>458</v>
      </c>
      <c r="E35" s="160">
        <f>VLOOKUP(C35,'SOR RATE'!A:D,4,0)</f>
        <v>64</v>
      </c>
      <c r="F35" s="162">
        <v>1</v>
      </c>
      <c r="G35" s="160">
        <f t="shared" si="0"/>
        <v>64</v>
      </c>
      <c r="H35" s="162">
        <v>1</v>
      </c>
      <c r="I35" s="160">
        <f t="shared" si="1"/>
        <v>64</v>
      </c>
      <c r="J35" s="162">
        <v>1</v>
      </c>
      <c r="K35" s="160">
        <f t="shared" si="2"/>
        <v>64</v>
      </c>
    </row>
    <row r="36" spans="1:11" ht="12.75">
      <c r="A36" s="1333"/>
      <c r="B36" s="163" t="s">
        <v>1336</v>
      </c>
      <c r="C36" s="636">
        <v>7130620614</v>
      </c>
      <c r="D36" s="672" t="s">
        <v>458</v>
      </c>
      <c r="E36" s="160">
        <f>VLOOKUP(C36,'SOR RATE'!A:D,4,0)</f>
        <v>63</v>
      </c>
      <c r="F36" s="162">
        <v>4</v>
      </c>
      <c r="G36" s="160">
        <f t="shared" si="0"/>
        <v>252</v>
      </c>
      <c r="H36" s="162">
        <v>4</v>
      </c>
      <c r="I36" s="160">
        <f t="shared" si="1"/>
        <v>252</v>
      </c>
      <c r="J36" s="162">
        <v>4</v>
      </c>
      <c r="K36" s="160">
        <f t="shared" si="2"/>
        <v>252</v>
      </c>
    </row>
    <row r="37" spans="1:11" ht="12.75">
      <c r="A37" s="1333"/>
      <c r="B37" s="163" t="s">
        <v>1338</v>
      </c>
      <c r="C37" s="636">
        <v>7130620625</v>
      </c>
      <c r="D37" s="672" t="s">
        <v>458</v>
      </c>
      <c r="E37" s="160">
        <f>VLOOKUP(C37,'SOR RATE'!A:D,4,0)</f>
        <v>62</v>
      </c>
      <c r="F37" s="162">
        <v>4</v>
      </c>
      <c r="G37" s="160">
        <f t="shared" si="0"/>
        <v>248</v>
      </c>
      <c r="H37" s="162">
        <v>4</v>
      </c>
      <c r="I37" s="160">
        <f t="shared" si="1"/>
        <v>248</v>
      </c>
      <c r="J37" s="162">
        <v>5</v>
      </c>
      <c r="K37" s="160">
        <f t="shared" si="2"/>
        <v>310</v>
      </c>
    </row>
    <row r="38" spans="1:16" ht="12.75">
      <c r="A38" s="1334"/>
      <c r="B38" s="163" t="s">
        <v>1345</v>
      </c>
      <c r="C38" s="636">
        <v>7130620631</v>
      </c>
      <c r="D38" s="672" t="s">
        <v>458</v>
      </c>
      <c r="E38" s="160">
        <f>VLOOKUP(C38,'SOR RATE'!A:D,4,0)</f>
        <v>62</v>
      </c>
      <c r="F38" s="162">
        <v>5</v>
      </c>
      <c r="G38" s="160">
        <f t="shared" si="0"/>
        <v>310</v>
      </c>
      <c r="H38" s="162">
        <v>5</v>
      </c>
      <c r="I38" s="160">
        <f t="shared" si="1"/>
        <v>310</v>
      </c>
      <c r="J38" s="162">
        <v>7</v>
      </c>
      <c r="K38" s="160">
        <f t="shared" si="2"/>
        <v>434</v>
      </c>
      <c r="M38" s="65"/>
      <c r="N38" s="65"/>
      <c r="O38" s="65"/>
      <c r="P38" s="65"/>
    </row>
    <row r="39" spans="1:22" ht="12.75" customHeight="1">
      <c r="A39" s="1332">
        <v>18</v>
      </c>
      <c r="B39" s="960" t="s">
        <v>590</v>
      </c>
      <c r="C39" s="268"/>
      <c r="D39" s="268"/>
      <c r="E39" s="268"/>
      <c r="F39" s="268"/>
      <c r="G39" s="268"/>
      <c r="H39" s="268"/>
      <c r="I39" s="268"/>
      <c r="J39" s="268"/>
      <c r="K39" s="269"/>
      <c r="M39" s="108"/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11" ht="12.75">
      <c r="A40" s="1333"/>
      <c r="B40" s="163" t="s">
        <v>591</v>
      </c>
      <c r="C40" s="162">
        <v>7130311054</v>
      </c>
      <c r="D40" s="162" t="s">
        <v>1368</v>
      </c>
      <c r="E40" s="160">
        <f>VLOOKUP(C40,'SOR RATE'!A:D,4,0)/1000</f>
        <v>213.718</v>
      </c>
      <c r="F40" s="162">
        <v>40</v>
      </c>
      <c r="G40" s="160">
        <f t="shared" si="0"/>
        <v>8548.72</v>
      </c>
      <c r="H40" s="162">
        <v>30</v>
      </c>
      <c r="I40" s="160">
        <f t="shared" si="1"/>
        <v>6411.54</v>
      </c>
      <c r="J40" s="162"/>
      <c r="K40" s="160"/>
    </row>
    <row r="41" spans="1:11" ht="12.75">
      <c r="A41" s="1333"/>
      <c r="B41" s="163" t="s">
        <v>592</v>
      </c>
      <c r="C41" s="162">
        <v>7130311057</v>
      </c>
      <c r="D41" s="162" t="s">
        <v>1368</v>
      </c>
      <c r="E41" s="160">
        <f>VLOOKUP(C41,'SOR RATE'!A:D,4,0)/1000</f>
        <v>412.459</v>
      </c>
      <c r="F41" s="162"/>
      <c r="G41" s="160"/>
      <c r="H41" s="162">
        <v>10</v>
      </c>
      <c r="I41" s="160">
        <f t="shared" si="1"/>
        <v>4124.59</v>
      </c>
      <c r="J41" s="162">
        <v>30</v>
      </c>
      <c r="K41" s="160">
        <f t="shared" si="2"/>
        <v>12373.77</v>
      </c>
    </row>
    <row r="42" spans="1:11" ht="12.75">
      <c r="A42" s="1334"/>
      <c r="B42" s="163" t="s">
        <v>593</v>
      </c>
      <c r="C42" s="162">
        <v>7130311061</v>
      </c>
      <c r="D42" s="162" t="s">
        <v>1368</v>
      </c>
      <c r="E42" s="160">
        <f>VLOOKUP(C42,'SOR RATE'!A:D,4,0)/1000</f>
        <v>784.944</v>
      </c>
      <c r="F42" s="162"/>
      <c r="G42" s="160"/>
      <c r="H42" s="162"/>
      <c r="I42" s="160"/>
      <c r="J42" s="162">
        <v>10</v>
      </c>
      <c r="K42" s="160">
        <f t="shared" si="2"/>
        <v>7849.44</v>
      </c>
    </row>
    <row r="43" spans="1:11" ht="12.75">
      <c r="A43" s="1332">
        <v>19</v>
      </c>
      <c r="B43" s="960" t="s">
        <v>594</v>
      </c>
      <c r="C43" s="268"/>
      <c r="D43" s="268"/>
      <c r="E43" s="268"/>
      <c r="F43" s="268"/>
      <c r="G43" s="268"/>
      <c r="H43" s="268"/>
      <c r="I43" s="268"/>
      <c r="J43" s="268"/>
      <c r="K43" s="269"/>
    </row>
    <row r="44" spans="1:11" ht="12.75">
      <c r="A44" s="1333"/>
      <c r="B44" s="163" t="s">
        <v>1388</v>
      </c>
      <c r="C44" s="162">
        <v>7131950065</v>
      </c>
      <c r="D44" s="162" t="s">
        <v>803</v>
      </c>
      <c r="E44" s="160">
        <f>VLOOKUP(C44,'SOR RATE'!A:D,4,0)</f>
        <v>13758</v>
      </c>
      <c r="F44" s="162">
        <v>1</v>
      </c>
      <c r="G44" s="160">
        <f t="shared" si="0"/>
        <v>13758</v>
      </c>
      <c r="H44" s="162"/>
      <c r="I44" s="160"/>
      <c r="J44" s="162"/>
      <c r="K44" s="160"/>
    </row>
    <row r="45" spans="1:11" ht="12.75">
      <c r="A45" s="1333"/>
      <c r="B45" s="163" t="s">
        <v>1389</v>
      </c>
      <c r="C45" s="162">
        <v>7131950105</v>
      </c>
      <c r="D45" s="162" t="s">
        <v>803</v>
      </c>
      <c r="E45" s="160">
        <f>VLOOKUP(C45,'SOR RATE'!A:D,4,0)</f>
        <v>17198</v>
      </c>
      <c r="F45" s="162"/>
      <c r="G45" s="160"/>
      <c r="H45" s="162">
        <v>1</v>
      </c>
      <c r="I45" s="160">
        <f t="shared" si="1"/>
        <v>17198</v>
      </c>
      <c r="J45" s="162"/>
      <c r="K45" s="160"/>
    </row>
    <row r="46" spans="1:11" ht="12.75">
      <c r="A46" s="1334"/>
      <c r="B46" s="163" t="s">
        <v>1390</v>
      </c>
      <c r="C46" s="162">
        <v>7131950200</v>
      </c>
      <c r="D46" s="162" t="s">
        <v>803</v>
      </c>
      <c r="E46" s="160">
        <f>VLOOKUP(C46,'SOR RATE'!A:D,4,0)</f>
        <v>34396</v>
      </c>
      <c r="F46" s="162"/>
      <c r="G46" s="160"/>
      <c r="H46" s="162"/>
      <c r="I46" s="160"/>
      <c r="J46" s="162">
        <v>1</v>
      </c>
      <c r="K46" s="160">
        <f t="shared" si="2"/>
        <v>34396</v>
      </c>
    </row>
    <row r="47" spans="1:11" ht="15" customHeight="1">
      <c r="A47" s="1335">
        <v>20</v>
      </c>
      <c r="B47" s="163" t="s">
        <v>595</v>
      </c>
      <c r="C47" s="162">
        <v>7130810216</v>
      </c>
      <c r="D47" s="162" t="s">
        <v>803</v>
      </c>
      <c r="E47" s="160">
        <f>VLOOKUP(C47,'SOR RATE'!A:D,4,0)</f>
        <v>282</v>
      </c>
      <c r="F47" s="162">
        <v>14</v>
      </c>
      <c r="G47" s="160">
        <f t="shared" si="0"/>
        <v>3948</v>
      </c>
      <c r="H47" s="162">
        <v>14</v>
      </c>
      <c r="I47" s="160">
        <f t="shared" si="1"/>
        <v>3948</v>
      </c>
      <c r="J47" s="162"/>
      <c r="K47" s="160"/>
    </row>
    <row r="48" spans="1:11" ht="12.75">
      <c r="A48" s="1335"/>
      <c r="B48" s="163" t="s">
        <v>596</v>
      </c>
      <c r="C48" s="164">
        <v>7130810692</v>
      </c>
      <c r="D48" s="162" t="s">
        <v>803</v>
      </c>
      <c r="E48" s="160">
        <f>VLOOKUP(C48,'SOR RATE'!A:D,4,0)</f>
        <v>294</v>
      </c>
      <c r="F48" s="162"/>
      <c r="G48" s="160"/>
      <c r="H48" s="162"/>
      <c r="I48" s="160"/>
      <c r="J48" s="162">
        <v>14</v>
      </c>
      <c r="K48" s="160">
        <f t="shared" si="2"/>
        <v>4116</v>
      </c>
    </row>
    <row r="49" spans="1:11" ht="12.75">
      <c r="A49" s="217">
        <v>21</v>
      </c>
      <c r="B49" s="163" t="s">
        <v>597</v>
      </c>
      <c r="C49" s="162">
        <v>7131930221</v>
      </c>
      <c r="D49" s="162" t="s">
        <v>1553</v>
      </c>
      <c r="E49" s="160">
        <f>VLOOKUP(C49,'SOR RATE'!A:D,4,0)</f>
        <v>7750</v>
      </c>
      <c r="F49" s="162"/>
      <c r="G49" s="160"/>
      <c r="H49" s="162">
        <v>1</v>
      </c>
      <c r="I49" s="160">
        <f t="shared" si="1"/>
        <v>7750</v>
      </c>
      <c r="J49" s="162">
        <v>1</v>
      </c>
      <c r="K49" s="160">
        <f t="shared" si="2"/>
        <v>7750</v>
      </c>
    </row>
    <row r="50" spans="1:11" ht="12.75">
      <c r="A50" s="217">
        <v>22</v>
      </c>
      <c r="B50" s="163" t="s">
        <v>598</v>
      </c>
      <c r="C50" s="162">
        <v>7130830057</v>
      </c>
      <c r="D50" s="162" t="s">
        <v>1368</v>
      </c>
      <c r="E50" s="160">
        <f>VLOOKUP(C50,'SOR RATE'!A:D,4,0)/1000</f>
        <v>33.544</v>
      </c>
      <c r="F50" s="162">
        <v>30</v>
      </c>
      <c r="G50" s="160">
        <f t="shared" si="0"/>
        <v>1006.3199999999999</v>
      </c>
      <c r="H50" s="162">
        <v>30</v>
      </c>
      <c r="I50" s="160">
        <f t="shared" si="1"/>
        <v>1006.3199999999999</v>
      </c>
      <c r="J50" s="162">
        <v>30</v>
      </c>
      <c r="K50" s="160">
        <f t="shared" si="2"/>
        <v>1006.3199999999999</v>
      </c>
    </row>
    <row r="51" spans="1:13" ht="12.75">
      <c r="A51" s="67">
        <v>23</v>
      </c>
      <c r="B51" s="168" t="s">
        <v>1576</v>
      </c>
      <c r="C51" s="273"/>
      <c r="D51" s="162"/>
      <c r="E51" s="160"/>
      <c r="F51" s="162"/>
      <c r="G51" s="68">
        <f>SUM(G8:G50)</f>
        <v>169724.74700000003</v>
      </c>
      <c r="H51" s="68"/>
      <c r="I51" s="68">
        <f>SUM(I8:I50)</f>
        <v>213702.157</v>
      </c>
      <c r="J51" s="68"/>
      <c r="K51" s="68">
        <f>SUM(K8:K50)</f>
        <v>367245.6654</v>
      </c>
      <c r="L51" s="323"/>
      <c r="M51" s="32"/>
    </row>
    <row r="52" spans="1:13" ht="13.5" customHeight="1">
      <c r="A52" s="217">
        <v>24</v>
      </c>
      <c r="B52" s="158" t="s">
        <v>1575</v>
      </c>
      <c r="C52" s="964"/>
      <c r="D52" s="965"/>
      <c r="E52" s="966">
        <v>0.09</v>
      </c>
      <c r="F52" s="965"/>
      <c r="G52" s="170">
        <f>G51*E52</f>
        <v>15275.227230000002</v>
      </c>
      <c r="H52" s="170"/>
      <c r="I52" s="170">
        <f>I51*E52</f>
        <v>19233.19413</v>
      </c>
      <c r="J52" s="170"/>
      <c r="K52" s="170">
        <f>K51*E52</f>
        <v>33052.109886</v>
      </c>
      <c r="L52" s="323"/>
      <c r="M52" s="600"/>
    </row>
    <row r="53" spans="1:12" ht="15" customHeight="1">
      <c r="A53" s="204">
        <v>25</v>
      </c>
      <c r="B53" s="213" t="s">
        <v>599</v>
      </c>
      <c r="C53" s="273"/>
      <c r="D53" s="162"/>
      <c r="E53" s="162"/>
      <c r="F53" s="162"/>
      <c r="G53" s="160">
        <v>17240.43</v>
      </c>
      <c r="H53" s="160"/>
      <c r="I53" s="160">
        <v>19033.49</v>
      </c>
      <c r="J53" s="160"/>
      <c r="K53" s="160">
        <v>20889.75</v>
      </c>
      <c r="L53" s="35"/>
    </row>
    <row r="54" spans="1:14" ht="25.5">
      <c r="A54" s="217">
        <v>26</v>
      </c>
      <c r="B54" s="213" t="s">
        <v>755</v>
      </c>
      <c r="C54" s="273"/>
      <c r="D54" s="162"/>
      <c r="E54" s="160">
        <f>1664*1.27*1.0891*1.086275*1.1112*1.0685</f>
        <v>2968.460981603261</v>
      </c>
      <c r="F54" s="162">
        <v>10.4</v>
      </c>
      <c r="G54" s="160">
        <f>E54*F54</f>
        <v>30871.994208673917</v>
      </c>
      <c r="H54" s="370">
        <v>10.4</v>
      </c>
      <c r="I54" s="160">
        <f>E54*H54</f>
        <v>30871.994208673917</v>
      </c>
      <c r="J54" s="370">
        <v>10.8</v>
      </c>
      <c r="K54" s="160">
        <f>E54*J54</f>
        <v>32059.378601315224</v>
      </c>
      <c r="M54" s="363"/>
      <c r="N54" s="363"/>
    </row>
    <row r="55" spans="1:11" ht="16.5" customHeight="1">
      <c r="A55" s="204">
        <v>27</v>
      </c>
      <c r="B55" s="213" t="s">
        <v>600</v>
      </c>
      <c r="C55" s="273"/>
      <c r="D55" s="162"/>
      <c r="E55" s="162"/>
      <c r="F55" s="162"/>
      <c r="G55" s="160">
        <f>1.1*3600*1.2*1.1*1.1797*1.1402*0.9368</f>
        <v>6586.711100439784</v>
      </c>
      <c r="H55" s="160"/>
      <c r="I55" s="160">
        <f>+G55</f>
        <v>6586.711100439784</v>
      </c>
      <c r="J55" s="160"/>
      <c r="K55" s="160">
        <f>1.1*4200*1.2*1.1*1.1797*1.1402*0.9368</f>
        <v>7684.496283846414</v>
      </c>
    </row>
    <row r="56" spans="1:12" ht="16.5" customHeight="1">
      <c r="A56" s="218">
        <v>28</v>
      </c>
      <c r="B56" s="168" t="s">
        <v>1577</v>
      </c>
      <c r="C56" s="273"/>
      <c r="D56" s="162"/>
      <c r="E56" s="162"/>
      <c r="F56" s="162"/>
      <c r="G56" s="68">
        <f>G51+G52+G53+G54+G55</f>
        <v>239699.1095391137</v>
      </c>
      <c r="H56" s="68"/>
      <c r="I56" s="68">
        <f>I51+I52+I53+I54+I55</f>
        <v>289427.5464391137</v>
      </c>
      <c r="J56" s="68"/>
      <c r="K56" s="68">
        <f>K51+K52+K53+K54+K55</f>
        <v>460931.40017116163</v>
      </c>
      <c r="L56" s="327"/>
    </row>
    <row r="57" spans="1:12" ht="40.5" customHeight="1">
      <c r="A57" s="204">
        <v>29</v>
      </c>
      <c r="B57" s="158" t="s">
        <v>1578</v>
      </c>
      <c r="C57" s="273"/>
      <c r="D57" s="162"/>
      <c r="E57" s="162">
        <v>0.11</v>
      </c>
      <c r="F57" s="162"/>
      <c r="G57" s="160">
        <f>G51*E57</f>
        <v>18669.722170000005</v>
      </c>
      <c r="H57" s="160"/>
      <c r="I57" s="160">
        <f>I51*E57</f>
        <v>23507.23727</v>
      </c>
      <c r="J57" s="160"/>
      <c r="K57" s="160">
        <f>K51*E57</f>
        <v>40397.023194</v>
      </c>
      <c r="L57" s="327"/>
    </row>
    <row r="58" spans="1:11" ht="15.75" customHeight="1">
      <c r="A58" s="204">
        <v>30</v>
      </c>
      <c r="B58" s="213" t="s">
        <v>1168</v>
      </c>
      <c r="C58" s="273"/>
      <c r="D58" s="162"/>
      <c r="E58" s="162"/>
      <c r="F58" s="162"/>
      <c r="G58" s="68">
        <f>G56+G57</f>
        <v>258368.8317091137</v>
      </c>
      <c r="H58" s="68"/>
      <c r="I58" s="68">
        <f>I56+I57</f>
        <v>312934.78370911366</v>
      </c>
      <c r="J58" s="68"/>
      <c r="K58" s="68">
        <f>K56+K57</f>
        <v>501328.42336516164</v>
      </c>
    </row>
    <row r="59" spans="1:11" ht="13.5">
      <c r="A59" s="218">
        <v>31</v>
      </c>
      <c r="B59" s="169" t="s">
        <v>1167</v>
      </c>
      <c r="C59" s="273"/>
      <c r="D59" s="162"/>
      <c r="E59" s="162"/>
      <c r="F59" s="162"/>
      <c r="G59" s="380">
        <f>ROUND(G58,0)</f>
        <v>258369</v>
      </c>
      <c r="H59" s="380"/>
      <c r="I59" s="380">
        <f>ROUND(I58,0)</f>
        <v>312935</v>
      </c>
      <c r="J59" s="380"/>
      <c r="K59" s="380">
        <f>ROUND(K58,0)</f>
        <v>501328</v>
      </c>
    </row>
    <row r="60" spans="2:3" ht="12.75">
      <c r="B60" s="31"/>
      <c r="C60" s="31"/>
    </row>
    <row r="62" ht="12.75">
      <c r="E62" s="270"/>
    </row>
  </sheetData>
  <sheetProtection/>
  <mergeCells count="21">
    <mergeCell ref="H5:I5"/>
    <mergeCell ref="A10:A13"/>
    <mergeCell ref="B5:B6"/>
    <mergeCell ref="C5:C6"/>
    <mergeCell ref="A5:A6"/>
    <mergeCell ref="M15:N15"/>
    <mergeCell ref="J2:K2"/>
    <mergeCell ref="E5:E6"/>
    <mergeCell ref="C3:I3"/>
    <mergeCell ref="J5:K5"/>
    <mergeCell ref="F5:G5"/>
    <mergeCell ref="A39:A42"/>
    <mergeCell ref="C1:G1"/>
    <mergeCell ref="A43:A46"/>
    <mergeCell ref="A47:A48"/>
    <mergeCell ref="A15:A16"/>
    <mergeCell ref="A20:A23"/>
    <mergeCell ref="A34:A38"/>
    <mergeCell ref="D5:D6"/>
    <mergeCell ref="A27:A29"/>
    <mergeCell ref="A24:A25"/>
  </mergeCells>
  <conditionalFormatting sqref="B51:B52">
    <cfRule type="cellIs" priority="1" dxfId="0" operator="equal" stopIfTrue="1">
      <formula>"?"</formula>
    </cfRule>
  </conditionalFormatting>
  <printOptions horizontalCentered="1"/>
  <pageMargins left="0.91" right="0.16" top="0.65" bottom="0.3" header="0.37" footer="0.16"/>
  <pageSetup fitToHeight="2" horizontalDpi="600" verticalDpi="600" orientation="landscape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2:M42"/>
  <sheetViews>
    <sheetView zoomScaleSheetLayoutView="70" zoomScalePageLayoutView="0" workbookViewId="0" topLeftCell="A1">
      <pane xSplit="2" ySplit="10" topLeftCell="C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.75"/>
  <cols>
    <col min="1" max="1" width="5.421875" style="1" customWidth="1"/>
    <col min="2" max="2" width="35.421875" style="1" customWidth="1"/>
    <col min="3" max="3" width="13.7109375" style="1" bestFit="1" customWidth="1"/>
    <col min="4" max="4" width="6.57421875" style="1" bestFit="1" customWidth="1"/>
    <col min="5" max="5" width="10.57421875" style="1" bestFit="1" customWidth="1"/>
    <col min="6" max="6" width="5.28125" style="1" customWidth="1"/>
    <col min="7" max="7" width="12.57421875" style="1" customWidth="1"/>
    <col min="8" max="8" width="5.00390625" style="1" bestFit="1" customWidth="1"/>
    <col min="9" max="9" width="11.8515625" style="1" bestFit="1" customWidth="1"/>
    <col min="10" max="10" width="5.00390625" style="1" bestFit="1" customWidth="1"/>
    <col min="11" max="11" width="11.8515625" style="1" bestFit="1" customWidth="1"/>
    <col min="12" max="12" width="14.421875" style="1" customWidth="1"/>
    <col min="13" max="13" width="14.00390625" style="1" customWidth="1"/>
    <col min="14" max="16384" width="9.140625" style="1" customWidth="1"/>
  </cols>
  <sheetData>
    <row r="2" spans="2:11" ht="18">
      <c r="B2" s="57"/>
      <c r="C2" s="1153" t="s">
        <v>601</v>
      </c>
      <c r="D2" s="1153"/>
      <c r="E2" s="1153"/>
      <c r="F2" s="1153"/>
      <c r="G2" s="1153"/>
      <c r="H2" s="1153"/>
      <c r="I2" s="57"/>
      <c r="J2" s="57"/>
      <c r="K2" s="57"/>
    </row>
    <row r="3" spans="2:11" ht="12.75" customHeight="1">
      <c r="B3" s="57"/>
      <c r="C3" s="57"/>
      <c r="D3" s="38"/>
      <c r="E3" s="38"/>
      <c r="F3" s="38"/>
      <c r="G3" s="38"/>
      <c r="H3" s="57"/>
      <c r="I3" s="57"/>
      <c r="J3" s="57"/>
      <c r="K3" s="57"/>
    </row>
    <row r="4" spans="1:11" ht="33" customHeight="1">
      <c r="A4" s="1164" t="s">
        <v>602</v>
      </c>
      <c r="B4" s="1164"/>
      <c r="C4" s="1164"/>
      <c r="D4" s="1164"/>
      <c r="E4" s="1164"/>
      <c r="F4" s="1164"/>
      <c r="G4" s="1164"/>
      <c r="H4" s="1164"/>
      <c r="I4" s="1164"/>
      <c r="J4" s="1164"/>
      <c r="K4" s="1164"/>
    </row>
    <row r="5" spans="2:11" ht="13.5" customHeight="1">
      <c r="B5" s="57"/>
      <c r="C5" s="57"/>
      <c r="D5" s="38"/>
      <c r="E5" s="38"/>
      <c r="F5" s="38"/>
      <c r="G5" s="38"/>
      <c r="H5" s="57"/>
      <c r="I5" s="57"/>
      <c r="J5" s="57"/>
      <c r="K5" s="57"/>
    </row>
    <row r="6" spans="10:11" ht="16.5" customHeight="1">
      <c r="J6" s="1338" t="s">
        <v>551</v>
      </c>
      <c r="K6" s="1338"/>
    </row>
    <row r="7" spans="1:9" ht="12" customHeight="1">
      <c r="A7" s="967"/>
      <c r="B7" s="967"/>
      <c r="C7" s="967"/>
      <c r="D7" s="967"/>
      <c r="E7" s="967"/>
      <c r="F7" s="967"/>
      <c r="G7" s="967"/>
      <c r="H7" s="967"/>
      <c r="I7" s="967"/>
    </row>
    <row r="8" spans="1:11" ht="30" customHeight="1">
      <c r="A8" s="1339" t="s">
        <v>603</v>
      </c>
      <c r="B8" s="1339" t="s">
        <v>449</v>
      </c>
      <c r="C8" s="1339" t="s">
        <v>260</v>
      </c>
      <c r="D8" s="1339" t="s">
        <v>604</v>
      </c>
      <c r="E8" s="1343" t="s">
        <v>605</v>
      </c>
      <c r="F8" s="1339" t="s">
        <v>606</v>
      </c>
      <c r="G8" s="1339"/>
      <c r="H8" s="1339" t="s">
        <v>607</v>
      </c>
      <c r="I8" s="1339"/>
      <c r="J8" s="1339" t="s">
        <v>608</v>
      </c>
      <c r="K8" s="1339"/>
    </row>
    <row r="9" spans="1:11" ht="15" customHeight="1">
      <c r="A9" s="1339"/>
      <c r="B9" s="1339"/>
      <c r="C9" s="1339"/>
      <c r="D9" s="1339"/>
      <c r="E9" s="1344"/>
      <c r="F9" s="379" t="s">
        <v>1370</v>
      </c>
      <c r="G9" s="379" t="s">
        <v>800</v>
      </c>
      <c r="H9" s="379" t="s">
        <v>1370</v>
      </c>
      <c r="I9" s="379" t="s">
        <v>800</v>
      </c>
      <c r="J9" s="379" t="s">
        <v>1370</v>
      </c>
      <c r="K9" s="379" t="s">
        <v>800</v>
      </c>
    </row>
    <row r="10" spans="1:11" ht="12.75">
      <c r="A10" s="346">
        <v>1</v>
      </c>
      <c r="B10" s="67">
        <v>2</v>
      </c>
      <c r="C10" s="67">
        <v>3</v>
      </c>
      <c r="D10" s="67">
        <v>4</v>
      </c>
      <c r="E10" s="34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</row>
    <row r="11" spans="1:11" ht="15.75" customHeight="1">
      <c r="A11" s="1340">
        <v>1</v>
      </c>
      <c r="B11" s="163" t="s">
        <v>609</v>
      </c>
      <c r="C11" s="217">
        <v>7130310077</v>
      </c>
      <c r="D11" s="162" t="s">
        <v>440</v>
      </c>
      <c r="E11" s="968">
        <f>VLOOKUP(C11,'SOR RATE'!A:D,4,0)</f>
        <v>520056</v>
      </c>
      <c r="F11" s="217">
        <v>1</v>
      </c>
      <c r="G11" s="170">
        <f>F11*E11</f>
        <v>520056</v>
      </c>
      <c r="H11" s="217"/>
      <c r="I11" s="217"/>
      <c r="J11" s="217"/>
      <c r="K11" s="67"/>
    </row>
    <row r="12" spans="1:11" ht="18.75" customHeight="1">
      <c r="A12" s="1341"/>
      <c r="B12" s="163" t="s">
        <v>610</v>
      </c>
      <c r="C12" s="217">
        <v>7130310079</v>
      </c>
      <c r="D12" s="162" t="s">
        <v>440</v>
      </c>
      <c r="E12" s="968">
        <f>VLOOKUP(C12,'SOR RATE'!A:D,4,0)</f>
        <v>939613</v>
      </c>
      <c r="F12" s="217"/>
      <c r="G12" s="170"/>
      <c r="H12" s="217">
        <v>1</v>
      </c>
      <c r="I12" s="170">
        <f>H12*E12</f>
        <v>939613</v>
      </c>
      <c r="J12" s="217"/>
      <c r="K12" s="67"/>
    </row>
    <row r="13" spans="1:11" ht="18" customHeight="1">
      <c r="A13" s="1342"/>
      <c r="B13" s="163" t="s">
        <v>611</v>
      </c>
      <c r="C13" s="162">
        <v>7130310080</v>
      </c>
      <c r="D13" s="162" t="s">
        <v>440</v>
      </c>
      <c r="E13" s="968">
        <f>VLOOKUP(C13,'SOR RATE'!A:D,4,0)</f>
        <v>1447702</v>
      </c>
      <c r="F13" s="217"/>
      <c r="G13" s="170"/>
      <c r="H13" s="217"/>
      <c r="I13" s="170"/>
      <c r="J13" s="217">
        <v>1</v>
      </c>
      <c r="K13" s="160">
        <f>J13*E13</f>
        <v>1447702</v>
      </c>
    </row>
    <row r="14" spans="1:11" ht="27" customHeight="1">
      <c r="A14" s="1340">
        <v>2</v>
      </c>
      <c r="B14" s="161" t="s">
        <v>612</v>
      </c>
      <c r="C14" s="960"/>
      <c r="D14" s="268"/>
      <c r="E14" s="268"/>
      <c r="F14" s="268"/>
      <c r="G14" s="268"/>
      <c r="H14" s="268"/>
      <c r="I14" s="268"/>
      <c r="J14" s="268"/>
      <c r="K14" s="269"/>
    </row>
    <row r="15" spans="1:11" ht="18" customHeight="1">
      <c r="A15" s="1341"/>
      <c r="B15" s="163" t="s">
        <v>613</v>
      </c>
      <c r="C15" s="162">
        <v>7130352039</v>
      </c>
      <c r="D15" s="162" t="s">
        <v>802</v>
      </c>
      <c r="E15" s="968">
        <f>VLOOKUP(C15,'SOR RATE'!A:D,4,0)</f>
        <v>8701</v>
      </c>
      <c r="F15" s="162">
        <v>3</v>
      </c>
      <c r="G15" s="170">
        <f>F15*E15</f>
        <v>26103</v>
      </c>
      <c r="H15" s="217"/>
      <c r="I15" s="170"/>
      <c r="J15" s="217"/>
      <c r="K15" s="160"/>
    </row>
    <row r="16" spans="1:11" ht="18" customHeight="1">
      <c r="A16" s="1341"/>
      <c r="B16" s="163" t="s">
        <v>614</v>
      </c>
      <c r="C16" s="162">
        <v>7130352041</v>
      </c>
      <c r="D16" s="162" t="s">
        <v>802</v>
      </c>
      <c r="E16" s="968">
        <f>VLOOKUP(C16,'SOR RATE'!A:D,4,0)</f>
        <v>10751</v>
      </c>
      <c r="F16" s="217"/>
      <c r="G16" s="170"/>
      <c r="H16" s="162">
        <v>3</v>
      </c>
      <c r="I16" s="170">
        <f>H16*E16</f>
        <v>32253</v>
      </c>
      <c r="J16" s="217"/>
      <c r="K16" s="160"/>
    </row>
    <row r="17" spans="1:11" ht="18" customHeight="1">
      <c r="A17" s="1342"/>
      <c r="B17" s="360" t="s">
        <v>615</v>
      </c>
      <c r="C17" s="162">
        <v>7130352042</v>
      </c>
      <c r="D17" s="162" t="s">
        <v>802</v>
      </c>
      <c r="E17" s="968">
        <f>VLOOKUP(C17,'SOR RATE'!A:D,4,0)</f>
        <v>11000</v>
      </c>
      <c r="F17" s="204"/>
      <c r="G17" s="204"/>
      <c r="H17" s="204"/>
      <c r="I17" s="204"/>
      <c r="J17" s="162">
        <v>3</v>
      </c>
      <c r="K17" s="160">
        <f>J17*E17</f>
        <v>33000</v>
      </c>
    </row>
    <row r="18" spans="1:11" ht="28.5" customHeight="1">
      <c r="A18" s="1340">
        <v>3</v>
      </c>
      <c r="B18" s="161" t="s">
        <v>616</v>
      </c>
      <c r="C18" s="960"/>
      <c r="D18" s="268"/>
      <c r="E18" s="268"/>
      <c r="F18" s="268"/>
      <c r="G18" s="268"/>
      <c r="H18" s="268"/>
      <c r="I18" s="268"/>
      <c r="J18" s="268"/>
      <c r="K18" s="269"/>
    </row>
    <row r="19" spans="1:11" ht="18" customHeight="1">
      <c r="A19" s="1341"/>
      <c r="B19" s="163" t="s">
        <v>617</v>
      </c>
      <c r="C19" s="162">
        <v>7130352043</v>
      </c>
      <c r="D19" s="968" t="s">
        <v>802</v>
      </c>
      <c r="E19" s="968">
        <f>VLOOKUP(C19,'SOR RATE'!A:D,4,0)</f>
        <v>2406</v>
      </c>
      <c r="F19" s="165">
        <v>2</v>
      </c>
      <c r="G19" s="968">
        <f>F19*E19</f>
        <v>4812</v>
      </c>
      <c r="H19" s="165"/>
      <c r="I19" s="968"/>
      <c r="J19" s="165"/>
      <c r="K19" s="969"/>
    </row>
    <row r="20" spans="1:11" ht="18" customHeight="1">
      <c r="A20" s="1341"/>
      <c r="B20" s="163" t="s">
        <v>618</v>
      </c>
      <c r="C20" s="162">
        <v>7130352044</v>
      </c>
      <c r="D20" s="968" t="s">
        <v>802</v>
      </c>
      <c r="E20" s="968">
        <f>VLOOKUP(C20,'SOR RATE'!A:D,4,0)</f>
        <v>2561</v>
      </c>
      <c r="F20" s="162"/>
      <c r="G20" s="170"/>
      <c r="H20" s="162">
        <v>2</v>
      </c>
      <c r="I20" s="170">
        <f>H20*E20</f>
        <v>5122</v>
      </c>
      <c r="J20" s="162"/>
      <c r="K20" s="160"/>
    </row>
    <row r="21" spans="1:11" ht="18" customHeight="1">
      <c r="A21" s="1342"/>
      <c r="B21" s="163" t="s">
        <v>619</v>
      </c>
      <c r="C21" s="162">
        <v>7130352045</v>
      </c>
      <c r="D21" s="968" t="s">
        <v>802</v>
      </c>
      <c r="E21" s="968">
        <f>VLOOKUP(C21,'SOR RATE'!A:D,4,0)</f>
        <v>2630</v>
      </c>
      <c r="F21" s="162"/>
      <c r="G21" s="170"/>
      <c r="H21" s="162"/>
      <c r="I21" s="170"/>
      <c r="J21" s="162">
        <v>2</v>
      </c>
      <c r="K21" s="160">
        <f>J21*E21</f>
        <v>5260</v>
      </c>
    </row>
    <row r="22" spans="1:11" ht="15" customHeight="1">
      <c r="A22" s="162">
        <v>4</v>
      </c>
      <c r="B22" s="163" t="s">
        <v>620</v>
      </c>
      <c r="C22" s="162">
        <v>7130201343</v>
      </c>
      <c r="D22" s="162" t="s">
        <v>452</v>
      </c>
      <c r="E22" s="968">
        <f>VLOOKUP(C22,'SOR RATE'!A:D,4,0)/1000</f>
        <v>10.423</v>
      </c>
      <c r="F22" s="162">
        <v>4000</v>
      </c>
      <c r="G22" s="170">
        <f>F22*E22</f>
        <v>41692</v>
      </c>
      <c r="H22" s="162">
        <v>4000</v>
      </c>
      <c r="I22" s="170">
        <f>H22*E22</f>
        <v>41692</v>
      </c>
      <c r="J22" s="162">
        <v>4000</v>
      </c>
      <c r="K22" s="160">
        <f>J22*E22</f>
        <v>41692</v>
      </c>
    </row>
    <row r="23" spans="1:11" ht="16.5" customHeight="1">
      <c r="A23" s="162">
        <v>5</v>
      </c>
      <c r="B23" s="163" t="s">
        <v>621</v>
      </c>
      <c r="C23" s="162">
        <v>7132498006</v>
      </c>
      <c r="D23" s="162" t="s">
        <v>622</v>
      </c>
      <c r="E23" s="968">
        <f>VLOOKUP(C23,'SOR RATE'!A:D,4,0)</f>
        <v>650</v>
      </c>
      <c r="F23" s="162">
        <v>60</v>
      </c>
      <c r="G23" s="170">
        <f>F23*E23</f>
        <v>39000</v>
      </c>
      <c r="H23" s="162">
        <v>60</v>
      </c>
      <c r="I23" s="170">
        <f>H23*E23</f>
        <v>39000</v>
      </c>
      <c r="J23" s="162">
        <v>60</v>
      </c>
      <c r="K23" s="160">
        <f>J23*E23</f>
        <v>39000</v>
      </c>
    </row>
    <row r="24" spans="1:11" ht="25.5">
      <c r="A24" s="157">
        <v>6</v>
      </c>
      <c r="B24" s="161" t="s">
        <v>623</v>
      </c>
      <c r="C24" s="162">
        <v>7130640037</v>
      </c>
      <c r="D24" s="162" t="s">
        <v>624</v>
      </c>
      <c r="E24" s="968">
        <f>VLOOKUP(C24,'SOR RATE'!A:D,4,0)</f>
        <v>918</v>
      </c>
      <c r="F24" s="162">
        <v>8</v>
      </c>
      <c r="G24" s="170">
        <f>F24*E24</f>
        <v>7344</v>
      </c>
      <c r="H24" s="162">
        <v>8</v>
      </c>
      <c r="I24" s="170">
        <f>H24*E24</f>
        <v>7344</v>
      </c>
      <c r="J24" s="162">
        <v>8</v>
      </c>
      <c r="K24" s="160">
        <f>J24*E24</f>
        <v>7344</v>
      </c>
    </row>
    <row r="25" spans="1:11" ht="13.5" customHeight="1">
      <c r="A25" s="157">
        <v>7</v>
      </c>
      <c r="B25" s="161" t="s">
        <v>625</v>
      </c>
      <c r="C25" s="162">
        <v>7130200204</v>
      </c>
      <c r="D25" s="162" t="s">
        <v>452</v>
      </c>
      <c r="E25" s="968">
        <f>VLOOKUP(C25,'SOR RATE'!A:D,4,0)</f>
        <v>157</v>
      </c>
      <c r="F25" s="162">
        <v>30</v>
      </c>
      <c r="G25" s="170">
        <f>F25*E25</f>
        <v>4710</v>
      </c>
      <c r="H25" s="162">
        <v>30</v>
      </c>
      <c r="I25" s="170">
        <f>H25*E25</f>
        <v>4710</v>
      </c>
      <c r="J25" s="162">
        <v>30</v>
      </c>
      <c r="K25" s="160">
        <f>J25*E25</f>
        <v>4710</v>
      </c>
    </row>
    <row r="26" spans="1:12" ht="15.75" customHeight="1">
      <c r="A26" s="379">
        <v>8</v>
      </c>
      <c r="B26" s="168" t="s">
        <v>1576</v>
      </c>
      <c r="C26" s="379"/>
      <c r="D26" s="379"/>
      <c r="E26" s="380"/>
      <c r="F26" s="379"/>
      <c r="G26" s="380">
        <f>G11+G15+G19+G22+G23+G24+G25</f>
        <v>643717</v>
      </c>
      <c r="H26" s="380"/>
      <c r="I26" s="380">
        <f>I12+I16+I20+I22+I23+I24+I25</f>
        <v>1069734</v>
      </c>
      <c r="J26" s="380"/>
      <c r="K26" s="380">
        <f>K13+K17+K21+K22+K23+K24+K25</f>
        <v>1578708</v>
      </c>
      <c r="L26" s="323"/>
    </row>
    <row r="27" spans="1:13" ht="14.25" customHeight="1">
      <c r="A27" s="157">
        <v>9</v>
      </c>
      <c r="B27" s="161" t="s">
        <v>626</v>
      </c>
      <c r="C27" s="162"/>
      <c r="D27" s="162"/>
      <c r="E27" s="968"/>
      <c r="F27" s="162"/>
      <c r="G27" s="160">
        <v>184521.26</v>
      </c>
      <c r="H27" s="162"/>
      <c r="I27" s="160">
        <f>+G27</f>
        <v>184521.26</v>
      </c>
      <c r="J27" s="162"/>
      <c r="K27" s="160">
        <f>+I27</f>
        <v>184521.26</v>
      </c>
      <c r="L27" s="35"/>
      <c r="M27" s="35"/>
    </row>
    <row r="28" spans="1:13" ht="15" customHeight="1">
      <c r="A28" s="167">
        <v>10</v>
      </c>
      <c r="B28" s="158" t="s">
        <v>1575</v>
      </c>
      <c r="C28" s="970" t="s">
        <v>437</v>
      </c>
      <c r="D28" s="971"/>
      <c r="E28" s="205">
        <v>0.09</v>
      </c>
      <c r="F28" s="205"/>
      <c r="G28" s="205">
        <f>G26*E28</f>
        <v>57934.53</v>
      </c>
      <c r="H28" s="205"/>
      <c r="I28" s="205">
        <f>I26*E28</f>
        <v>96276.06</v>
      </c>
      <c r="J28" s="205"/>
      <c r="K28" s="205">
        <f>K26*E28</f>
        <v>142083.72</v>
      </c>
      <c r="L28" s="323"/>
      <c r="M28" s="600"/>
    </row>
    <row r="29" spans="1:11" ht="15" customHeight="1">
      <c r="A29" s="292">
        <v>11</v>
      </c>
      <c r="B29" s="284" t="s">
        <v>627</v>
      </c>
      <c r="C29" s="204"/>
      <c r="D29" s="204"/>
      <c r="E29" s="968"/>
      <c r="F29" s="204"/>
      <c r="G29" s="160">
        <f>1.1*0.05*G26*1.1797*1.1402*0.9368</f>
        <v>44612.56217847008</v>
      </c>
      <c r="H29" s="160"/>
      <c r="I29" s="160">
        <f>1.1*0.05*I26*1.1797*1.1402*0.9368</f>
        <v>74137.50854711545</v>
      </c>
      <c r="J29" s="160"/>
      <c r="K29" s="160">
        <f>1.1*0.05*K26*1.1797*1.1402*0.9368</f>
        <v>109411.75829075222</v>
      </c>
    </row>
    <row r="30" spans="1:12" ht="15" customHeight="1">
      <c r="A30" s="373">
        <v>12</v>
      </c>
      <c r="B30" s="168" t="s">
        <v>1577</v>
      </c>
      <c r="C30" s="204"/>
      <c r="D30" s="204"/>
      <c r="E30" s="968"/>
      <c r="F30" s="204"/>
      <c r="G30" s="68">
        <f>G26+G27+G28+G29</f>
        <v>930785.3521784701</v>
      </c>
      <c r="H30" s="68"/>
      <c r="I30" s="68">
        <f>I26+I27+I28+I29</f>
        <v>1424668.8285471154</v>
      </c>
      <c r="J30" s="68"/>
      <c r="K30" s="68">
        <f>K26+K27+K28+K29</f>
        <v>2014724.7382907523</v>
      </c>
      <c r="L30" s="327"/>
    </row>
    <row r="31" spans="1:12" ht="43.5" customHeight="1">
      <c r="A31" s="292">
        <v>13</v>
      </c>
      <c r="B31" s="158" t="s">
        <v>1578</v>
      </c>
      <c r="C31" s="204"/>
      <c r="D31" s="204"/>
      <c r="E31" s="968">
        <v>0.11</v>
      </c>
      <c r="F31" s="204"/>
      <c r="G31" s="160">
        <f>G26*E31</f>
        <v>70808.87</v>
      </c>
      <c r="H31" s="160"/>
      <c r="I31" s="160">
        <f>I26*E31</f>
        <v>117670.74</v>
      </c>
      <c r="J31" s="160"/>
      <c r="K31" s="160">
        <f>K26*E31</f>
        <v>173657.88</v>
      </c>
      <c r="L31" s="327"/>
    </row>
    <row r="32" spans="1:11" ht="12.75">
      <c r="A32" s="292">
        <v>14</v>
      </c>
      <c r="B32" s="161" t="s">
        <v>1589</v>
      </c>
      <c r="C32" s="204"/>
      <c r="D32" s="204"/>
      <c r="E32" s="968"/>
      <c r="F32" s="204"/>
      <c r="G32" s="160">
        <f>G30+G31</f>
        <v>1001594.2221784701</v>
      </c>
      <c r="H32" s="160"/>
      <c r="I32" s="160">
        <f>I30+I31</f>
        <v>1542339.5685471154</v>
      </c>
      <c r="J32" s="160"/>
      <c r="K32" s="160">
        <f>K30+K31</f>
        <v>2188382.618290752</v>
      </c>
    </row>
    <row r="33" spans="1:11" ht="19.5" customHeight="1">
      <c r="A33" s="59">
        <v>15</v>
      </c>
      <c r="B33" s="234" t="s">
        <v>796</v>
      </c>
      <c r="C33" s="135"/>
      <c r="D33" s="135"/>
      <c r="E33" s="223"/>
      <c r="F33" s="135"/>
      <c r="G33" s="202">
        <f>ROUND(G32,0)</f>
        <v>1001594</v>
      </c>
      <c r="H33" s="202"/>
      <c r="I33" s="202">
        <f>ROUND(I32,0)</f>
        <v>1542340</v>
      </c>
      <c r="J33" s="202"/>
      <c r="K33" s="202">
        <f>ROUND(K32,0)</f>
        <v>2188383</v>
      </c>
    </row>
    <row r="34" ht="12.75">
      <c r="I34" s="270"/>
    </row>
    <row r="35" spans="12:13" ht="12.75" customHeight="1">
      <c r="L35" s="65"/>
      <c r="M35" s="5"/>
    </row>
    <row r="36" spans="2:13" ht="15">
      <c r="B36" s="972"/>
      <c r="C36" s="972"/>
      <c r="L36" s="5"/>
      <c r="M36" s="5"/>
    </row>
    <row r="37" spans="2:3" ht="14.25">
      <c r="B37" s="972"/>
      <c r="C37" s="972"/>
    </row>
    <row r="38" spans="1:11" ht="15.75">
      <c r="A38" s="65"/>
      <c r="B38" s="678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2.75">
      <c r="A40" s="973"/>
      <c r="B40" s="108"/>
      <c r="C40" s="974"/>
      <c r="D40" s="974"/>
      <c r="E40" s="975"/>
      <c r="F40" s="974"/>
      <c r="G40" s="975"/>
      <c r="H40" s="974"/>
      <c r="I40" s="975"/>
      <c r="J40" s="974"/>
      <c r="K40" s="363"/>
    </row>
    <row r="41" spans="1:11" ht="12.75">
      <c r="A41" s="973"/>
      <c r="B41" s="94"/>
      <c r="C41" s="974"/>
      <c r="D41" s="974"/>
      <c r="E41" s="975"/>
      <c r="F41" s="974"/>
      <c r="G41" s="975"/>
      <c r="H41" s="974"/>
      <c r="I41" s="975"/>
      <c r="J41" s="974"/>
      <c r="K41" s="363"/>
    </row>
    <row r="42" spans="1:1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</sheetData>
  <sheetProtection/>
  <mergeCells count="14">
    <mergeCell ref="D8:D9"/>
    <mergeCell ref="E8:E9"/>
    <mergeCell ref="F8:G8"/>
    <mergeCell ref="H8:I8"/>
    <mergeCell ref="C2:H2"/>
    <mergeCell ref="J8:K8"/>
    <mergeCell ref="A11:A13"/>
    <mergeCell ref="A14:A17"/>
    <mergeCell ref="A18:A21"/>
    <mergeCell ref="A4:K4"/>
    <mergeCell ref="J6:K6"/>
    <mergeCell ref="A8:A9"/>
    <mergeCell ref="B8:B9"/>
    <mergeCell ref="C8:C9"/>
  </mergeCells>
  <conditionalFormatting sqref="B28 B26">
    <cfRule type="cellIs" priority="1" dxfId="0" operator="equal" stopIfTrue="1">
      <formula>"?"</formula>
    </cfRule>
  </conditionalFormatting>
  <printOptions horizontalCentered="1"/>
  <pageMargins left="0.7874015748031497" right="0.11811023622047245" top="0.54" bottom="0.5118110236220472" header="0.2755905511811024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8"/>
  <sheetViews>
    <sheetView zoomScaleSheetLayoutView="70" zoomScalePageLayoutView="0" workbookViewId="0" topLeftCell="A1">
      <pane xSplit="2" ySplit="8" topLeftCell="C9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9.140625" defaultRowHeight="12.75"/>
  <cols>
    <col min="1" max="1" width="4.57421875" style="36" customWidth="1"/>
    <col min="2" max="2" width="46.140625" style="1" customWidth="1"/>
    <col min="3" max="3" width="11.7109375" style="11" customWidth="1"/>
    <col min="4" max="4" width="6.00390625" style="1" customWidth="1"/>
    <col min="5" max="5" width="5.57421875" style="1" customWidth="1"/>
    <col min="6" max="6" width="8.8515625" style="1" customWidth="1"/>
    <col min="7" max="7" width="11.00390625" style="1" bestFit="1" customWidth="1"/>
    <col min="8" max="8" width="10.421875" style="1" customWidth="1"/>
    <col min="9" max="9" width="11.57421875" style="1" customWidth="1"/>
    <col min="10" max="10" width="9.140625" style="1" customWidth="1"/>
    <col min="11" max="11" width="10.57421875" style="1" bestFit="1" customWidth="1"/>
    <col min="12" max="16384" width="9.140625" style="1" customWidth="1"/>
  </cols>
  <sheetData>
    <row r="1" spans="2:7" ht="18">
      <c r="B1" s="1153" t="s">
        <v>320</v>
      </c>
      <c r="C1" s="1153"/>
      <c r="D1" s="57"/>
      <c r="E1" s="57"/>
      <c r="F1" s="57"/>
      <c r="G1" s="57"/>
    </row>
    <row r="2" spans="2:7" ht="12.75" customHeight="1">
      <c r="B2" s="38"/>
      <c r="C2" s="38"/>
      <c r="D2" s="57"/>
      <c r="E2" s="57"/>
      <c r="F2" s="57"/>
      <c r="G2" s="57"/>
    </row>
    <row r="3" spans="2:7" ht="34.5" customHeight="1">
      <c r="B3" s="1164" t="s">
        <v>321</v>
      </c>
      <c r="C3" s="1164"/>
      <c r="D3" s="1164"/>
      <c r="E3" s="1164"/>
      <c r="F3" s="1164"/>
      <c r="G3" s="16"/>
    </row>
    <row r="4" spans="1:7" ht="15.75">
      <c r="A4" s="35"/>
      <c r="B4" s="236"/>
      <c r="C4" s="236"/>
      <c r="D4" s="236"/>
      <c r="E4" s="236"/>
      <c r="F4" s="236"/>
      <c r="G4" s="236"/>
    </row>
    <row r="5" spans="1:7" ht="15.75">
      <c r="A5" s="89"/>
      <c r="B5" s="65"/>
      <c r="C5" s="337"/>
      <c r="D5" s="65"/>
      <c r="E5" s="65"/>
      <c r="F5" s="390"/>
      <c r="G5" s="112" t="s">
        <v>551</v>
      </c>
    </row>
    <row r="6" spans="1:7" ht="15.75">
      <c r="A6" s="89"/>
      <c r="B6" s="65"/>
      <c r="C6" s="337"/>
      <c r="D6" s="65"/>
      <c r="E6" s="65"/>
      <c r="F6" s="390"/>
      <c r="G6" s="34"/>
    </row>
    <row r="7" spans="1:7" ht="28.5" customHeight="1">
      <c r="A7" s="67" t="s">
        <v>1335</v>
      </c>
      <c r="B7" s="218" t="s">
        <v>449</v>
      </c>
      <c r="C7" s="391" t="s">
        <v>53</v>
      </c>
      <c r="D7" s="218" t="s">
        <v>450</v>
      </c>
      <c r="E7" s="218" t="s">
        <v>451</v>
      </c>
      <c r="F7" s="392" t="s">
        <v>799</v>
      </c>
      <c r="G7" s="218" t="s">
        <v>7</v>
      </c>
    </row>
    <row r="8" spans="1:7" ht="12.75">
      <c r="A8" s="219">
        <v>1</v>
      </c>
      <c r="B8" s="219">
        <v>2</v>
      </c>
      <c r="C8" s="219">
        <v>3</v>
      </c>
      <c r="D8" s="219">
        <v>4</v>
      </c>
      <c r="E8" s="219">
        <v>5</v>
      </c>
      <c r="F8" s="219">
        <v>6</v>
      </c>
      <c r="G8" s="219">
        <v>7</v>
      </c>
    </row>
    <row r="9" spans="1:7" ht="12.75">
      <c r="A9" s="214">
        <v>1</v>
      </c>
      <c r="B9" s="206" t="s">
        <v>1366</v>
      </c>
      <c r="C9" s="331">
        <v>7130800012</v>
      </c>
      <c r="D9" s="214" t="s">
        <v>452</v>
      </c>
      <c r="E9" s="214">
        <v>2</v>
      </c>
      <c r="F9" s="215">
        <f>VLOOKUP(C9,'SOR RATE'!A:D,4,0)</f>
        <v>1654</v>
      </c>
      <c r="G9" s="215">
        <f>F9*E9</f>
        <v>3308</v>
      </c>
    </row>
    <row r="10" spans="1:7" ht="25.5">
      <c r="A10" s="283">
        <v>2</v>
      </c>
      <c r="B10" s="207" t="s">
        <v>322</v>
      </c>
      <c r="C10" s="393">
        <v>7130810512</v>
      </c>
      <c r="D10" s="204" t="s">
        <v>802</v>
      </c>
      <c r="E10" s="204">
        <v>1</v>
      </c>
      <c r="F10" s="205">
        <f>VLOOKUP(C10,'SOR RATE'!A:D,4,0)</f>
        <v>3940</v>
      </c>
      <c r="G10" s="205">
        <f>F10*E10</f>
        <v>3940</v>
      </c>
    </row>
    <row r="11" spans="1:10" ht="12.75">
      <c r="A11" s="214">
        <v>3</v>
      </c>
      <c r="B11" s="206" t="s">
        <v>1030</v>
      </c>
      <c r="C11" s="331">
        <v>7130820010</v>
      </c>
      <c r="D11" s="214" t="s">
        <v>803</v>
      </c>
      <c r="E11" s="214">
        <v>6</v>
      </c>
      <c r="F11" s="215">
        <f>VLOOKUP(C11,'SOR RATE'!A:D,4,0)</f>
        <v>140</v>
      </c>
      <c r="G11" s="215">
        <f>F11*E11</f>
        <v>840</v>
      </c>
      <c r="J11" s="1" t="s">
        <v>1031</v>
      </c>
    </row>
    <row r="12" spans="1:7" ht="12.75">
      <c r="A12" s="214">
        <v>4</v>
      </c>
      <c r="B12" s="206" t="s">
        <v>324</v>
      </c>
      <c r="C12" s="331">
        <v>7130820241</v>
      </c>
      <c r="D12" s="214" t="s">
        <v>452</v>
      </c>
      <c r="E12" s="214">
        <v>6</v>
      </c>
      <c r="F12" s="215">
        <f>VLOOKUP(C12,'SOR RATE'!A:D,4,0)</f>
        <v>123</v>
      </c>
      <c r="G12" s="215">
        <f>F12*E12</f>
        <v>738</v>
      </c>
    </row>
    <row r="13" spans="1:10" ht="12.75">
      <c r="A13" s="214">
        <v>5</v>
      </c>
      <c r="B13" s="206" t="s">
        <v>1545</v>
      </c>
      <c r="C13" s="331">
        <v>7130820008</v>
      </c>
      <c r="D13" s="214" t="s">
        <v>452</v>
      </c>
      <c r="E13" s="214">
        <v>3</v>
      </c>
      <c r="F13" s="215">
        <f>VLOOKUP(C13,'SOR RATE'!A:D,4,0)</f>
        <v>157</v>
      </c>
      <c r="G13" s="215">
        <f>F13*E13</f>
        <v>471</v>
      </c>
      <c r="J13" s="1" t="s">
        <v>383</v>
      </c>
    </row>
    <row r="14" spans="1:7" ht="25.5">
      <c r="A14" s="1161">
        <v>6</v>
      </c>
      <c r="B14" s="394" t="s">
        <v>326</v>
      </c>
      <c r="C14" s="393"/>
      <c r="D14" s="204" t="s">
        <v>802</v>
      </c>
      <c r="E14" s="136"/>
      <c r="F14" s="205"/>
      <c r="G14" s="205"/>
    </row>
    <row r="15" spans="1:7" ht="14.25" customHeight="1">
      <c r="A15" s="1162"/>
      <c r="B15" s="207" t="s">
        <v>327</v>
      </c>
      <c r="C15" s="393">
        <v>7130600032</v>
      </c>
      <c r="D15" s="204" t="s">
        <v>458</v>
      </c>
      <c r="E15" s="210">
        <v>52</v>
      </c>
      <c r="F15" s="205">
        <f>VLOOKUP(C15,'SOR RATE'!A:D,4,0)/1000</f>
        <v>40.214</v>
      </c>
      <c r="G15" s="205">
        <f>F15*E15</f>
        <v>2091.1279999999997</v>
      </c>
    </row>
    <row r="16" spans="1:7" ht="13.5" customHeight="1">
      <c r="A16" s="1163"/>
      <c r="B16" s="207" t="s">
        <v>328</v>
      </c>
      <c r="C16" s="393">
        <v>7130810692</v>
      </c>
      <c r="D16" s="204" t="s">
        <v>452</v>
      </c>
      <c r="E16" s="210">
        <v>4</v>
      </c>
      <c r="F16" s="205">
        <f>VLOOKUP(C16,'SOR RATE'!A:D,4,0)</f>
        <v>294</v>
      </c>
      <c r="G16" s="205">
        <f>F16*E16</f>
        <v>1176</v>
      </c>
    </row>
    <row r="17" spans="1:7" ht="12.75">
      <c r="A17" s="1161">
        <v>7</v>
      </c>
      <c r="B17" s="349" t="s">
        <v>303</v>
      </c>
      <c r="C17" s="331">
        <v>7130860032</v>
      </c>
      <c r="D17" s="214" t="s">
        <v>452</v>
      </c>
      <c r="E17" s="348">
        <v>6</v>
      </c>
      <c r="F17" s="205">
        <f>VLOOKUP(C17,'SOR RATE'!A:D,4,0)</f>
        <v>387</v>
      </c>
      <c r="G17" s="215">
        <f>F17*E17</f>
        <v>2322</v>
      </c>
    </row>
    <row r="18" spans="1:7" ht="15" customHeight="1">
      <c r="A18" s="1162"/>
      <c r="B18" s="208" t="s">
        <v>329</v>
      </c>
      <c r="C18" s="331">
        <v>7130860077</v>
      </c>
      <c r="D18" s="214" t="s">
        <v>458</v>
      </c>
      <c r="E18" s="214">
        <v>33</v>
      </c>
      <c r="F18" s="205">
        <f>VLOOKUP(C18,'SOR RATE'!A:D,4,0)/1000</f>
        <v>61.6</v>
      </c>
      <c r="G18" s="215">
        <f>F18*E18</f>
        <v>2032.8</v>
      </c>
    </row>
    <row r="19" spans="1:7" ht="12.75">
      <c r="A19" s="1163"/>
      <c r="B19" s="208" t="s">
        <v>330</v>
      </c>
      <c r="C19" s="331">
        <v>7130810026</v>
      </c>
      <c r="D19" s="214" t="s">
        <v>452</v>
      </c>
      <c r="E19" s="214">
        <v>6</v>
      </c>
      <c r="F19" s="205">
        <f>VLOOKUP(C19,'SOR RATE'!A:D,4,0)</f>
        <v>142</v>
      </c>
      <c r="G19" s="215">
        <f>F19*E19</f>
        <v>852</v>
      </c>
    </row>
    <row r="20" spans="1:7" ht="15" customHeight="1">
      <c r="A20" s="1161">
        <v>8</v>
      </c>
      <c r="B20" s="353" t="s">
        <v>1051</v>
      </c>
      <c r="C20" s="331"/>
      <c r="D20" s="214" t="s">
        <v>454</v>
      </c>
      <c r="E20" s="219">
        <v>1.8</v>
      </c>
      <c r="F20" s="205"/>
      <c r="G20" s="215"/>
    </row>
    <row r="21" spans="1:7" ht="15" customHeight="1">
      <c r="A21" s="1163"/>
      <c r="B21" s="206" t="s">
        <v>1341</v>
      </c>
      <c r="C21" s="393">
        <v>7130200401</v>
      </c>
      <c r="D21" s="204" t="s">
        <v>458</v>
      </c>
      <c r="E21" s="204">
        <v>374</v>
      </c>
      <c r="F21" s="205">
        <f>VLOOKUP(C21,'SOR RATE'!A:D,4,0)/50</f>
        <v>5.36</v>
      </c>
      <c r="G21" s="205">
        <f aca="true" t="shared" si="0" ref="G21:G26">F21*E21</f>
        <v>2004.64</v>
      </c>
    </row>
    <row r="22" spans="1:7" ht="12.75">
      <c r="A22" s="214">
        <v>9</v>
      </c>
      <c r="B22" s="206" t="s">
        <v>1052</v>
      </c>
      <c r="C22" s="331">
        <v>7130870013</v>
      </c>
      <c r="D22" s="214" t="s">
        <v>452</v>
      </c>
      <c r="E22" s="214">
        <v>2</v>
      </c>
      <c r="F22" s="205">
        <f>VLOOKUP(C22,'SOR RATE'!A:D,4,0)</f>
        <v>100</v>
      </c>
      <c r="G22" s="215">
        <f t="shared" si="0"/>
        <v>200</v>
      </c>
    </row>
    <row r="23" spans="1:7" ht="12.75">
      <c r="A23" s="214">
        <v>10</v>
      </c>
      <c r="B23" s="208" t="s">
        <v>1053</v>
      </c>
      <c r="C23" s="331">
        <v>7130211158</v>
      </c>
      <c r="D23" s="214" t="s">
        <v>456</v>
      </c>
      <c r="E23" s="214">
        <v>0.5</v>
      </c>
      <c r="F23" s="205">
        <f>VLOOKUP(C23,'SOR RATE'!A:D,4,0)</f>
        <v>130</v>
      </c>
      <c r="G23" s="215">
        <f t="shared" si="0"/>
        <v>65</v>
      </c>
    </row>
    <row r="24" spans="1:7" ht="12.75">
      <c r="A24" s="214">
        <v>11</v>
      </c>
      <c r="B24" s="208" t="s">
        <v>457</v>
      </c>
      <c r="C24" s="331">
        <v>7130210809</v>
      </c>
      <c r="D24" s="214" t="s">
        <v>456</v>
      </c>
      <c r="E24" s="214">
        <v>0.5</v>
      </c>
      <c r="F24" s="205">
        <f>VLOOKUP(C24,'SOR RATE'!A:D,4,0)</f>
        <v>290</v>
      </c>
      <c r="G24" s="215">
        <f t="shared" si="0"/>
        <v>145</v>
      </c>
    </row>
    <row r="25" spans="1:10" ht="12.75">
      <c r="A25" s="214">
        <v>12</v>
      </c>
      <c r="B25" s="158" t="s">
        <v>308</v>
      </c>
      <c r="C25" s="395">
        <v>7130610206</v>
      </c>
      <c r="D25" s="214" t="s">
        <v>458</v>
      </c>
      <c r="E25" s="214">
        <v>2</v>
      </c>
      <c r="F25" s="205">
        <f>VLOOKUP(C25,'SOR RATE'!A:D,4,0)/1000</f>
        <v>66.528</v>
      </c>
      <c r="G25" s="215">
        <f t="shared" si="0"/>
        <v>133.056</v>
      </c>
      <c r="H25" s="105"/>
      <c r="I25" s="52"/>
      <c r="J25" s="52"/>
    </row>
    <row r="26" spans="1:7" ht="12.75">
      <c r="A26" s="214">
        <v>13</v>
      </c>
      <c r="B26" s="206" t="s">
        <v>1342</v>
      </c>
      <c r="C26" s="331">
        <v>7130880041</v>
      </c>
      <c r="D26" s="214" t="s">
        <v>1553</v>
      </c>
      <c r="E26" s="214">
        <v>1</v>
      </c>
      <c r="F26" s="205">
        <f>VLOOKUP(C26,'SOR RATE'!A:D,4,0)</f>
        <v>74</v>
      </c>
      <c r="G26" s="215">
        <f t="shared" si="0"/>
        <v>74</v>
      </c>
    </row>
    <row r="27" spans="1:7" ht="12.75">
      <c r="A27" s="1161">
        <v>14</v>
      </c>
      <c r="B27" s="267" t="s">
        <v>310</v>
      </c>
      <c r="C27" s="331"/>
      <c r="D27" s="214" t="s">
        <v>458</v>
      </c>
      <c r="E27" s="219">
        <v>6</v>
      </c>
      <c r="F27" s="215"/>
      <c r="G27" s="215"/>
    </row>
    <row r="28" spans="1:7" ht="12.75">
      <c r="A28" s="1162"/>
      <c r="B28" s="364" t="s">
        <v>438</v>
      </c>
      <c r="C28" s="331">
        <v>7130620609</v>
      </c>
      <c r="D28" s="396" t="s">
        <v>1369</v>
      </c>
      <c r="E28" s="214">
        <v>0.5</v>
      </c>
      <c r="F28" s="215">
        <f>VLOOKUP(C28,'SOR RATE'!A:D,4,0)</f>
        <v>64</v>
      </c>
      <c r="G28" s="215">
        <f>F28*E28</f>
        <v>32</v>
      </c>
    </row>
    <row r="29" spans="1:7" ht="12.75">
      <c r="A29" s="1163"/>
      <c r="B29" s="364" t="s">
        <v>1345</v>
      </c>
      <c r="C29" s="331">
        <v>7130620631</v>
      </c>
      <c r="D29" s="396" t="s">
        <v>1369</v>
      </c>
      <c r="E29" s="214">
        <v>5.5</v>
      </c>
      <c r="F29" s="215">
        <f>VLOOKUP(C29,'SOR RATE'!A:D,4,0)</f>
        <v>62</v>
      </c>
      <c r="G29" s="215">
        <f>F29*E29</f>
        <v>341</v>
      </c>
    </row>
    <row r="30" spans="1:9" ht="12.75">
      <c r="A30" s="219">
        <v>15</v>
      </c>
      <c r="B30" s="168" t="s">
        <v>1576</v>
      </c>
      <c r="C30" s="397"/>
      <c r="D30" s="276"/>
      <c r="E30" s="219"/>
      <c r="F30" s="398"/>
      <c r="G30" s="1085">
        <f>SUM(G9:G29)</f>
        <v>20765.624</v>
      </c>
      <c r="H30" s="323"/>
      <c r="I30" s="324"/>
    </row>
    <row r="31" spans="1:9" ht="12.75">
      <c r="A31" s="209">
        <v>16</v>
      </c>
      <c r="B31" s="158" t="s">
        <v>1575</v>
      </c>
      <c r="C31" s="277"/>
      <c r="D31" s="278"/>
      <c r="E31" s="278"/>
      <c r="F31" s="279">
        <v>0.09</v>
      </c>
      <c r="G31" s="215">
        <f>G30*F31</f>
        <v>1868.90616</v>
      </c>
      <c r="H31" s="323"/>
      <c r="I31" s="324"/>
    </row>
    <row r="32" spans="1:11" ht="16.5" customHeight="1">
      <c r="A32" s="209">
        <v>17</v>
      </c>
      <c r="B32" s="163" t="s">
        <v>316</v>
      </c>
      <c r="C32" s="277"/>
      <c r="D32" s="204" t="s">
        <v>452</v>
      </c>
      <c r="E32" s="204">
        <v>2</v>
      </c>
      <c r="F32" s="160">
        <f>132*1.11*1.0891*1.086275*1.1112*1.0685</f>
        <v>205.81224590423886</v>
      </c>
      <c r="G32" s="205">
        <f>F32*E32</f>
        <v>411.6244918084777</v>
      </c>
      <c r="H32" s="327"/>
      <c r="I32" s="375"/>
      <c r="K32" s="399"/>
    </row>
    <row r="33" spans="1:9" ht="15" customHeight="1">
      <c r="A33" s="157">
        <v>18</v>
      </c>
      <c r="B33" s="369" t="s">
        <v>1372</v>
      </c>
      <c r="C33" s="400"/>
      <c r="D33" s="157" t="s">
        <v>454</v>
      </c>
      <c r="E33" s="157">
        <v>1.8</v>
      </c>
      <c r="F33" s="401">
        <f>1664*1.27*1.0891*1.086275*1.1112*1.0685</f>
        <v>2968.460981603261</v>
      </c>
      <c r="G33" s="401">
        <f>F33*E33</f>
        <v>5343.22976688587</v>
      </c>
      <c r="H33" s="402"/>
      <c r="I33" s="403"/>
    </row>
    <row r="34" spans="1:9" ht="18">
      <c r="A34" s="214">
        <v>19</v>
      </c>
      <c r="B34" s="206" t="s">
        <v>1054</v>
      </c>
      <c r="C34" s="331"/>
      <c r="D34" s="222"/>
      <c r="E34" s="214"/>
      <c r="F34" s="404"/>
      <c r="G34" s="205">
        <v>5575.21</v>
      </c>
      <c r="H34" s="100"/>
      <c r="I34" s="294"/>
    </row>
    <row r="35" spans="1:7" ht="38.25" customHeight="1">
      <c r="A35" s="283">
        <v>20</v>
      </c>
      <c r="B35" s="207" t="s">
        <v>1055</v>
      </c>
      <c r="C35" s="405"/>
      <c r="D35" s="222"/>
      <c r="E35" s="214"/>
      <c r="F35" s="404"/>
      <c r="G35" s="1086">
        <f>1.1*1.1*1559*1.2*1.1*1.1797*1.1402*0.9368</f>
        <v>3137.653018373385</v>
      </c>
    </row>
    <row r="36" spans="1:9" ht="15.75" customHeight="1">
      <c r="A36" s="218">
        <v>21</v>
      </c>
      <c r="B36" s="168" t="s">
        <v>1577</v>
      </c>
      <c r="C36" s="406"/>
      <c r="D36" s="208"/>
      <c r="E36" s="204"/>
      <c r="F36" s="371"/>
      <c r="G36" s="220">
        <f>G30+G31+G32+G33+G34+G35</f>
        <v>37102.24743706773</v>
      </c>
      <c r="H36" s="327"/>
      <c r="I36" s="375"/>
    </row>
    <row r="37" spans="1:9" ht="30.75" customHeight="1">
      <c r="A37" s="204">
        <v>22</v>
      </c>
      <c r="B37" s="158" t="s">
        <v>1578</v>
      </c>
      <c r="C37" s="405"/>
      <c r="D37" s="222"/>
      <c r="E37" s="214"/>
      <c r="F37" s="205">
        <v>0.11</v>
      </c>
      <c r="G37" s="205">
        <f>G30*F37</f>
        <v>2284.21864</v>
      </c>
      <c r="H37" s="327"/>
      <c r="I37" s="375"/>
    </row>
    <row r="38" spans="1:7" ht="12.75">
      <c r="A38" s="214">
        <v>23</v>
      </c>
      <c r="B38" s="206" t="s">
        <v>1331</v>
      </c>
      <c r="C38" s="331"/>
      <c r="D38" s="222"/>
      <c r="E38" s="214"/>
      <c r="F38" s="404"/>
      <c r="G38" s="215">
        <f>G36+G37</f>
        <v>39386.46607706773</v>
      </c>
    </row>
    <row r="39" spans="1:7" ht="27">
      <c r="A39" s="266">
        <v>24</v>
      </c>
      <c r="B39" s="407" t="s">
        <v>1056</v>
      </c>
      <c r="C39" s="408"/>
      <c r="D39" s="409"/>
      <c r="E39" s="298"/>
      <c r="F39" s="410"/>
      <c r="G39" s="1087">
        <f>ROUND(G38,0)</f>
        <v>39386</v>
      </c>
    </row>
    <row r="40" spans="1:7" ht="12.75">
      <c r="A40" s="315"/>
      <c r="B40" s="411"/>
      <c r="C40" s="412"/>
      <c r="D40" s="316"/>
      <c r="E40" s="315"/>
      <c r="F40" s="413"/>
      <c r="G40" s="414"/>
    </row>
    <row r="41" spans="1:6" ht="12.75">
      <c r="A41" s="415" t="s">
        <v>461</v>
      </c>
      <c r="B41" s="416" t="s">
        <v>462</v>
      </c>
      <c r="C41" s="343"/>
      <c r="D41" s="354"/>
      <c r="F41" s="389"/>
    </row>
    <row r="56" spans="2:3" ht="15.75">
      <c r="B56" s="1145" t="s">
        <v>549</v>
      </c>
      <c r="C56" s="1145"/>
    </row>
    <row r="58" spans="2:4" ht="12.75">
      <c r="B58" s="206" t="s">
        <v>325</v>
      </c>
      <c r="C58" s="331">
        <v>7130820155</v>
      </c>
      <c r="D58" s="214" t="s">
        <v>452</v>
      </c>
    </row>
  </sheetData>
  <sheetProtection/>
  <mergeCells count="7">
    <mergeCell ref="B56:C56"/>
    <mergeCell ref="A27:A29"/>
    <mergeCell ref="B1:C1"/>
    <mergeCell ref="B3:F3"/>
    <mergeCell ref="A14:A16"/>
    <mergeCell ref="A17:A19"/>
    <mergeCell ref="A20:A21"/>
  </mergeCells>
  <printOptions gridLines="1" horizontalCentered="1"/>
  <pageMargins left="0.65" right="0.22" top="0.98" bottom="0.12" header="0.8" footer="0.18"/>
  <pageSetup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2:O1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00390625" style="1" bestFit="1" customWidth="1"/>
    <col min="2" max="2" width="29.7109375" style="1" customWidth="1"/>
    <col min="3" max="3" width="14.57421875" style="1" customWidth="1"/>
    <col min="4" max="4" width="10.7109375" style="1" bestFit="1" customWidth="1"/>
    <col min="5" max="5" width="11.7109375" style="1" customWidth="1"/>
    <col min="6" max="6" width="12.140625" style="1" customWidth="1"/>
    <col min="7" max="7" width="12.7109375" style="1" customWidth="1"/>
    <col min="8" max="8" width="11.28125" style="1" customWidth="1"/>
    <col min="9" max="9" width="13.57421875" style="976" bestFit="1" customWidth="1"/>
    <col min="10" max="16384" width="9.140625" style="1" customWidth="1"/>
  </cols>
  <sheetData>
    <row r="2" spans="2:12" ht="20.25">
      <c r="B2" s="57"/>
      <c r="C2" s="1345" t="s">
        <v>628</v>
      </c>
      <c r="D2" s="1345"/>
      <c r="E2" s="1345"/>
      <c r="F2" s="1345"/>
      <c r="G2" s="417"/>
      <c r="H2" s="57"/>
      <c r="I2" s="235"/>
      <c r="J2" s="57"/>
      <c r="K2" s="57"/>
      <c r="L2" s="57"/>
    </row>
    <row r="3" spans="1:8" ht="12.75" customHeight="1">
      <c r="A3" s="488"/>
      <c r="B3" s="488"/>
      <c r="C3" s="488"/>
      <c r="D3" s="1346"/>
      <c r="E3" s="1346"/>
      <c r="F3" s="24"/>
      <c r="G3" s="24"/>
      <c r="H3" s="24"/>
    </row>
    <row r="4" spans="2:8" ht="41.25" customHeight="1">
      <c r="B4" s="1347" t="s">
        <v>629</v>
      </c>
      <c r="C4" s="1347"/>
      <c r="D4" s="1347"/>
      <c r="E4" s="1347"/>
      <c r="F4" s="1347"/>
      <c r="G4" s="1347"/>
      <c r="H4" s="977"/>
    </row>
    <row r="5" spans="1:8" ht="18">
      <c r="A5" s="978"/>
      <c r="B5" s="978"/>
      <c r="C5" s="978"/>
      <c r="D5" s="978"/>
      <c r="E5" s="978"/>
      <c r="F5" s="978"/>
      <c r="G5" s="978"/>
      <c r="H5" s="978"/>
    </row>
    <row r="6" spans="1:8" ht="18">
      <c r="A6" s="978"/>
      <c r="B6" s="978"/>
      <c r="C6" s="978"/>
      <c r="D6" s="978"/>
      <c r="E6" s="978"/>
      <c r="G6" s="1075" t="s">
        <v>551</v>
      </c>
      <c r="H6" s="978"/>
    </row>
    <row r="7" spans="1:8" ht="15">
      <c r="A7" s="24"/>
      <c r="B7" s="24"/>
      <c r="C7" s="24"/>
      <c r="D7" s="24"/>
      <c r="E7" s="24"/>
      <c r="F7" s="24"/>
      <c r="G7" s="24"/>
      <c r="H7" s="24"/>
    </row>
    <row r="8" spans="1:13" ht="60.75" customHeight="1">
      <c r="A8" s="979" t="s">
        <v>1335</v>
      </c>
      <c r="B8" s="66" t="s">
        <v>449</v>
      </c>
      <c r="C8" s="66" t="s">
        <v>260</v>
      </c>
      <c r="D8" s="979" t="s">
        <v>630</v>
      </c>
      <c r="E8" s="979" t="s">
        <v>804</v>
      </c>
      <c r="F8" s="979" t="s">
        <v>805</v>
      </c>
      <c r="G8" s="1074" t="s">
        <v>806</v>
      </c>
      <c r="H8" s="979" t="s">
        <v>807</v>
      </c>
      <c r="I8" s="979" t="s">
        <v>808</v>
      </c>
      <c r="L8" s="65"/>
      <c r="M8" s="65"/>
    </row>
    <row r="9" spans="1:13" ht="15">
      <c r="A9" s="979">
        <v>1</v>
      </c>
      <c r="B9" s="66">
        <v>2</v>
      </c>
      <c r="C9" s="66">
        <v>3</v>
      </c>
      <c r="D9" s="979">
        <v>4</v>
      </c>
      <c r="E9" s="979">
        <v>5</v>
      </c>
      <c r="F9" s="979">
        <v>6</v>
      </c>
      <c r="G9" s="979">
        <v>8</v>
      </c>
      <c r="H9" s="979">
        <v>10</v>
      </c>
      <c r="I9" s="979">
        <v>11</v>
      </c>
      <c r="L9" s="65"/>
      <c r="M9" s="65"/>
    </row>
    <row r="10" spans="1:13" ht="15">
      <c r="A10" s="980">
        <v>1</v>
      </c>
      <c r="B10" s="981" t="s">
        <v>631</v>
      </c>
      <c r="C10" s="980">
        <v>7132200812</v>
      </c>
      <c r="D10" s="980">
        <v>5</v>
      </c>
      <c r="E10" s="982">
        <f>VLOOKUP(C10,'SOR RATE'!A:D,4,0)</f>
        <v>1628</v>
      </c>
      <c r="F10" s="152">
        <f>E10*E17</f>
        <v>146.51999999999998</v>
      </c>
      <c r="G10" s="152">
        <v>200</v>
      </c>
      <c r="H10" s="982">
        <f>E10+F10+G10</f>
        <v>1974.52</v>
      </c>
      <c r="I10" s="1096">
        <f>ROUND(H10,0)</f>
        <v>1975</v>
      </c>
      <c r="K10" s="270"/>
      <c r="L10" s="65"/>
      <c r="M10" s="65"/>
    </row>
    <row r="11" spans="1:13" ht="15">
      <c r="A11" s="980">
        <v>2</v>
      </c>
      <c r="B11" s="981" t="s">
        <v>632</v>
      </c>
      <c r="C11" s="980">
        <v>7132200813</v>
      </c>
      <c r="D11" s="980">
        <v>10</v>
      </c>
      <c r="E11" s="982">
        <f>VLOOKUP(C11,'SOR RATE'!A:D,4,0)</f>
        <v>3254</v>
      </c>
      <c r="F11" s="152">
        <f>E11*E17</f>
        <v>292.86</v>
      </c>
      <c r="G11" s="152">
        <v>200</v>
      </c>
      <c r="H11" s="982">
        <f>E11+F11+G11</f>
        <v>3746.86</v>
      </c>
      <c r="I11" s="1096">
        <f>ROUND(H11,0)</f>
        <v>3747</v>
      </c>
      <c r="L11" s="65"/>
      <c r="M11" s="65"/>
    </row>
    <row r="12" spans="1:13" ht="15">
      <c r="A12" s="980">
        <v>3</v>
      </c>
      <c r="B12" s="981" t="s">
        <v>633</v>
      </c>
      <c r="C12" s="980">
        <v>7132200814</v>
      </c>
      <c r="D12" s="980">
        <v>12</v>
      </c>
      <c r="E12" s="982">
        <f>VLOOKUP(C12,'SOR RATE'!A:D,4,0)</f>
        <v>3910</v>
      </c>
      <c r="F12" s="152">
        <f>E12*E17</f>
        <v>351.9</v>
      </c>
      <c r="G12" s="152">
        <v>200</v>
      </c>
      <c r="H12" s="982">
        <f>E12+F12+G12</f>
        <v>4461.9</v>
      </c>
      <c r="I12" s="1096">
        <f>ROUND(H12,0)</f>
        <v>4462</v>
      </c>
      <c r="L12" s="983"/>
      <c r="M12" s="983"/>
    </row>
    <row r="13" spans="1:13" ht="15">
      <c r="A13" s="980">
        <v>4</v>
      </c>
      <c r="B13" s="981" t="s">
        <v>634</v>
      </c>
      <c r="C13" s="980">
        <v>7132200814</v>
      </c>
      <c r="D13" s="980">
        <v>12</v>
      </c>
      <c r="E13" s="982">
        <f>VLOOKUP(C13,'SOR RATE'!A:D,4,0)</f>
        <v>3910</v>
      </c>
      <c r="F13" s="152">
        <f>E13*E17</f>
        <v>351.9</v>
      </c>
      <c r="G13" s="152">
        <v>200</v>
      </c>
      <c r="H13" s="982">
        <f>E13+F13+G13</f>
        <v>4461.9</v>
      </c>
      <c r="I13" s="1096">
        <f>ROUND(H13,0)</f>
        <v>4462</v>
      </c>
      <c r="L13" s="65"/>
      <c r="M13" s="65"/>
    </row>
    <row r="14" spans="1:13" ht="15">
      <c r="A14" s="980">
        <v>5</v>
      </c>
      <c r="B14" s="981" t="s">
        <v>635</v>
      </c>
      <c r="C14" s="980">
        <v>7132200814</v>
      </c>
      <c r="D14" s="980">
        <v>12</v>
      </c>
      <c r="E14" s="982">
        <f>VLOOKUP(C14,'SOR RATE'!A:D,4,0)</f>
        <v>3910</v>
      </c>
      <c r="F14" s="152">
        <f>E14*E17</f>
        <v>351.9</v>
      </c>
      <c r="G14" s="152">
        <v>200</v>
      </c>
      <c r="H14" s="982">
        <f>E14+F14+G14</f>
        <v>4461.9</v>
      </c>
      <c r="I14" s="1096">
        <f>ROUND(H14,0)</f>
        <v>4462</v>
      </c>
      <c r="L14" s="65"/>
      <c r="M14" s="65"/>
    </row>
    <row r="15" spans="1:14" ht="15">
      <c r="A15" s="984"/>
      <c r="B15" s="65"/>
      <c r="C15" s="65"/>
      <c r="D15" s="984"/>
      <c r="E15" s="985"/>
      <c r="H15" s="986"/>
      <c r="L15" s="65"/>
      <c r="M15" s="987"/>
      <c r="N15" s="988"/>
    </row>
    <row r="16" spans="1:14" ht="14.25">
      <c r="A16" s="41"/>
      <c r="B16" s="41"/>
      <c r="C16" s="41"/>
      <c r="D16" s="41"/>
      <c r="E16" s="41"/>
      <c r="H16" s="41"/>
      <c r="L16" s="65"/>
      <c r="M16" s="41"/>
      <c r="N16" s="41"/>
    </row>
    <row r="17" spans="1:15" ht="15" customHeight="1">
      <c r="A17" s="41"/>
      <c r="B17" s="1348" t="s">
        <v>1575</v>
      </c>
      <c r="C17" s="1348"/>
      <c r="D17" s="1348"/>
      <c r="E17" s="990">
        <v>0.09</v>
      </c>
      <c r="H17" s="41"/>
      <c r="M17" s="600"/>
      <c r="N17" s="600"/>
      <c r="O17" s="600"/>
    </row>
  </sheetData>
  <sheetProtection/>
  <mergeCells count="4">
    <mergeCell ref="C2:F2"/>
    <mergeCell ref="D3:E3"/>
    <mergeCell ref="B4:G4"/>
    <mergeCell ref="B17:D17"/>
  </mergeCells>
  <printOptions/>
  <pageMargins left="0.75" right="0.16" top="1" bottom="0.7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J70"/>
  <sheetViews>
    <sheetView zoomScalePageLayoutView="0" workbookViewId="0" topLeftCell="A1">
      <pane xSplit="2" ySplit="7" topLeftCell="C38" activePane="bottomRight" state="frozen"/>
      <selection pane="topLeft" activeCell="L6" sqref="L6"/>
      <selection pane="topRight" activeCell="L6" sqref="L6"/>
      <selection pane="bottomLeft" activeCell="L6" sqref="L6"/>
      <selection pane="bottomRight" activeCell="L5" sqref="L5"/>
    </sheetView>
  </sheetViews>
  <sheetFormatPr defaultColWidth="9.140625" defaultRowHeight="12.75"/>
  <cols>
    <col min="1" max="1" width="4.8515625" style="1" customWidth="1"/>
    <col min="2" max="2" width="59.57421875" style="1" customWidth="1"/>
    <col min="3" max="3" width="13.28125" style="1" customWidth="1"/>
    <col min="4" max="4" width="5.8515625" style="1" bestFit="1" customWidth="1"/>
    <col min="5" max="5" width="6.7109375" style="1" bestFit="1" customWidth="1"/>
    <col min="6" max="6" width="10.8515625" style="1" bestFit="1" customWidth="1"/>
    <col min="7" max="7" width="11.8515625" style="1" bestFit="1" customWidth="1"/>
    <col min="8" max="8" width="9.140625" style="1" customWidth="1"/>
    <col min="9" max="9" width="14.421875" style="1" customWidth="1"/>
    <col min="10" max="10" width="15.57421875" style="1" customWidth="1"/>
    <col min="11" max="16384" width="9.140625" style="1" customWidth="1"/>
  </cols>
  <sheetData>
    <row r="1" spans="1:7" ht="18">
      <c r="A1" s="574"/>
      <c r="B1" s="1153" t="s">
        <v>636</v>
      </c>
      <c r="C1" s="1153"/>
      <c r="D1" s="1153"/>
      <c r="E1" s="991"/>
      <c r="F1" s="991"/>
      <c r="G1" s="991"/>
    </row>
    <row r="2" spans="1:7" ht="9" customHeight="1">
      <c r="A2" s="574"/>
      <c r="B2" s="98"/>
      <c r="C2" s="38"/>
      <c r="D2" s="38"/>
      <c r="E2" s="57"/>
      <c r="F2" s="57"/>
      <c r="G2" s="57"/>
    </row>
    <row r="3" spans="1:7" ht="35.25" customHeight="1">
      <c r="A3" s="574"/>
      <c r="B3" s="1164" t="s">
        <v>1143</v>
      </c>
      <c r="C3" s="1164"/>
      <c r="D3" s="1164"/>
      <c r="E3" s="1164"/>
      <c r="F3" s="1164"/>
      <c r="G3" s="1164"/>
    </row>
    <row r="4" spans="1:7" ht="18">
      <c r="A4" s="574"/>
      <c r="B4" s="992"/>
      <c r="C4" s="992"/>
      <c r="D4" s="992"/>
      <c r="E4" s="992"/>
      <c r="F4" s="992"/>
      <c r="G4" s="112" t="s">
        <v>551</v>
      </c>
    </row>
    <row r="5" spans="1:7" ht="32.25" customHeight="1">
      <c r="A5" s="1233" t="s">
        <v>637</v>
      </c>
      <c r="B5" s="1233" t="s">
        <v>449</v>
      </c>
      <c r="C5" s="1234" t="s">
        <v>53</v>
      </c>
      <c r="D5" s="1273" t="s">
        <v>450</v>
      </c>
      <c r="E5" s="1233" t="s">
        <v>171</v>
      </c>
      <c r="F5" s="1233"/>
      <c r="G5" s="1233"/>
    </row>
    <row r="6" spans="1:7" ht="15">
      <c r="A6" s="1233"/>
      <c r="B6" s="1233"/>
      <c r="C6" s="1235"/>
      <c r="D6" s="1273"/>
      <c r="E6" s="40" t="s">
        <v>1370</v>
      </c>
      <c r="F6" s="40" t="s">
        <v>799</v>
      </c>
      <c r="G6" s="40" t="s">
        <v>7</v>
      </c>
    </row>
    <row r="7" spans="1:7" ht="13.5">
      <c r="A7" s="993">
        <v>1</v>
      </c>
      <c r="B7" s="993">
        <v>2</v>
      </c>
      <c r="C7" s="993">
        <v>3</v>
      </c>
      <c r="D7" s="1059">
        <v>4</v>
      </c>
      <c r="E7" s="993">
        <v>5</v>
      </c>
      <c r="F7" s="993">
        <v>6</v>
      </c>
      <c r="G7" s="993">
        <v>7</v>
      </c>
    </row>
    <row r="8" spans="1:8" ht="32.25" customHeight="1">
      <c r="A8" s="307">
        <v>1</v>
      </c>
      <c r="B8" s="258" t="s">
        <v>1125</v>
      </c>
      <c r="C8" s="181">
        <v>7130601965</v>
      </c>
      <c r="D8" s="1097" t="s">
        <v>458</v>
      </c>
      <c r="E8" s="260">
        <f>37.1*11*2</f>
        <v>816.2</v>
      </c>
      <c r="F8" s="261">
        <f>VLOOKUP(C8,'SOR RATE'!A:D,4,0)/1000</f>
        <v>44.989</v>
      </c>
      <c r="G8" s="261">
        <f>F8*E8</f>
        <v>36720.0218</v>
      </c>
      <c r="H8" s="507"/>
    </row>
    <row r="9" spans="1:8" ht="32.25" customHeight="1">
      <c r="A9" s="307">
        <v>2</v>
      </c>
      <c r="B9" s="139" t="s">
        <v>1029</v>
      </c>
      <c r="C9" s="140">
        <v>7130601072</v>
      </c>
      <c r="D9" s="1098" t="s">
        <v>458</v>
      </c>
      <c r="E9" s="260"/>
      <c r="F9" s="261"/>
      <c r="G9" s="261"/>
      <c r="H9" s="507"/>
    </row>
    <row r="10" spans="1:7" ht="16.5" customHeight="1">
      <c r="A10" s="303">
        <v>3</v>
      </c>
      <c r="B10" s="258" t="s">
        <v>638</v>
      </c>
      <c r="C10" s="181">
        <v>7130810512</v>
      </c>
      <c r="D10" s="1097" t="s">
        <v>802</v>
      </c>
      <c r="E10" s="303">
        <v>2</v>
      </c>
      <c r="F10" s="261">
        <f>VLOOKUP(C10,'SOR RATE'!A:D,4,0)</f>
        <v>3940</v>
      </c>
      <c r="G10" s="182">
        <f aca="true" t="shared" si="0" ref="G10:G15">F10*E10</f>
        <v>7880</v>
      </c>
    </row>
    <row r="11" spans="1:10" ht="14.25">
      <c r="A11" s="307">
        <v>4</v>
      </c>
      <c r="B11" s="313" t="s">
        <v>1030</v>
      </c>
      <c r="C11" s="259">
        <v>7130820010</v>
      </c>
      <c r="D11" s="1099" t="s">
        <v>452</v>
      </c>
      <c r="E11" s="260">
        <v>6</v>
      </c>
      <c r="F11" s="261">
        <f>VLOOKUP(C11,'SOR RATE'!A:D,4,0)</f>
        <v>140</v>
      </c>
      <c r="G11" s="261">
        <f t="shared" si="0"/>
        <v>840</v>
      </c>
      <c r="I11" s="1236" t="s">
        <v>1031</v>
      </c>
      <c r="J11" s="1236"/>
    </row>
    <row r="12" spans="1:7" ht="14.25">
      <c r="A12" s="307">
        <v>5</v>
      </c>
      <c r="B12" s="313" t="s">
        <v>324</v>
      </c>
      <c r="C12" s="259">
        <v>7130820241</v>
      </c>
      <c r="D12" s="1099" t="s">
        <v>452</v>
      </c>
      <c r="E12" s="260">
        <v>6</v>
      </c>
      <c r="F12" s="261">
        <f>VLOOKUP(C12,'SOR RATE'!A:D,4,0)</f>
        <v>123</v>
      </c>
      <c r="G12" s="261">
        <f t="shared" si="0"/>
        <v>738</v>
      </c>
    </row>
    <row r="13" spans="1:10" ht="15" customHeight="1">
      <c r="A13" s="307">
        <v>6</v>
      </c>
      <c r="B13" s="139" t="s">
        <v>168</v>
      </c>
      <c r="C13" s="140">
        <v>7130820008</v>
      </c>
      <c r="D13" s="1099" t="s">
        <v>452</v>
      </c>
      <c r="E13" s="260">
        <v>6</v>
      </c>
      <c r="F13" s="261">
        <f>VLOOKUP(C13,'SOR RATE'!A:D,4,0)</f>
        <v>157</v>
      </c>
      <c r="G13" s="261">
        <f t="shared" si="0"/>
        <v>942</v>
      </c>
      <c r="I13" s="1170" t="s">
        <v>169</v>
      </c>
      <c r="J13" s="1170"/>
    </row>
    <row r="14" spans="1:7" ht="18" customHeight="1">
      <c r="A14" s="1228">
        <v>7</v>
      </c>
      <c r="B14" s="556" t="s">
        <v>1129</v>
      </c>
      <c r="C14" s="259">
        <v>7130860032</v>
      </c>
      <c r="D14" s="1099" t="s">
        <v>452</v>
      </c>
      <c r="E14" s="260">
        <v>2</v>
      </c>
      <c r="F14" s="261">
        <f>VLOOKUP(C14,'SOR RATE'!A:D,4,0)</f>
        <v>387</v>
      </c>
      <c r="G14" s="261">
        <f t="shared" si="0"/>
        <v>774</v>
      </c>
    </row>
    <row r="15" spans="1:7" ht="15" customHeight="1">
      <c r="A15" s="1229"/>
      <c r="B15" s="304" t="s">
        <v>1130</v>
      </c>
      <c r="C15" s="259">
        <v>7130860077</v>
      </c>
      <c r="D15" s="1099" t="s">
        <v>458</v>
      </c>
      <c r="E15" s="260">
        <v>17</v>
      </c>
      <c r="F15" s="261">
        <f>VLOOKUP(C15,'SOR RATE'!A:D,4,0)/1000</f>
        <v>61.6</v>
      </c>
      <c r="G15" s="261">
        <f t="shared" si="0"/>
        <v>1047.2</v>
      </c>
    </row>
    <row r="16" spans="1:7" ht="15" customHeight="1">
      <c r="A16" s="1229"/>
      <c r="B16" s="304" t="s">
        <v>1131</v>
      </c>
      <c r="C16" s="578"/>
      <c r="D16" s="579"/>
      <c r="E16" s="1108"/>
      <c r="F16" s="1108"/>
      <c r="G16" s="1108"/>
    </row>
    <row r="17" spans="1:7" ht="16.5" customHeight="1">
      <c r="A17" s="1229"/>
      <c r="B17" s="580" t="s">
        <v>1188</v>
      </c>
      <c r="C17" s="181">
        <v>7130810692</v>
      </c>
      <c r="D17" s="1100" t="s">
        <v>452</v>
      </c>
      <c r="E17" s="260">
        <v>4</v>
      </c>
      <c r="F17" s="261">
        <f>VLOOKUP(C17,'SOR RATE'!A:D,4,0)</f>
        <v>294</v>
      </c>
      <c r="G17" s="261">
        <f>F17*E17</f>
        <v>1176</v>
      </c>
    </row>
    <row r="18" spans="1:7" ht="16.5" customHeight="1">
      <c r="A18" s="1229"/>
      <c r="B18" s="139" t="s">
        <v>1343</v>
      </c>
      <c r="C18" s="140">
        <v>7130810201</v>
      </c>
      <c r="D18" s="1098" t="s">
        <v>452</v>
      </c>
      <c r="E18" s="260"/>
      <c r="F18" s="261"/>
      <c r="G18" s="261"/>
    </row>
    <row r="19" spans="1:7" ht="16.5" customHeight="1">
      <c r="A19" s="1230"/>
      <c r="B19" s="139" t="s">
        <v>1344</v>
      </c>
      <c r="C19" s="140">
        <v>7130810251</v>
      </c>
      <c r="D19" s="1098" t="s">
        <v>452</v>
      </c>
      <c r="E19" s="260"/>
      <c r="F19" s="261"/>
      <c r="G19" s="261"/>
    </row>
    <row r="20" spans="1:7" ht="30">
      <c r="A20" s="1228">
        <v>8</v>
      </c>
      <c r="B20" s="311" t="s">
        <v>1132</v>
      </c>
      <c r="C20" s="259"/>
      <c r="D20" s="1099" t="s">
        <v>454</v>
      </c>
      <c r="E20" s="260">
        <f>(2*0.65)+(2*0.2)</f>
        <v>1.7000000000000002</v>
      </c>
      <c r="F20" s="261"/>
      <c r="G20" s="261"/>
    </row>
    <row r="21" spans="1:7" ht="18" customHeight="1">
      <c r="A21" s="1230"/>
      <c r="B21" s="313" t="s">
        <v>1341</v>
      </c>
      <c r="C21" s="259">
        <v>7130200401</v>
      </c>
      <c r="D21" s="1099" t="s">
        <v>458</v>
      </c>
      <c r="E21" s="735">
        <f>1.7*208</f>
        <v>353.59999999999997</v>
      </c>
      <c r="F21" s="261">
        <f>VLOOKUP(C21,'SOR RATE'!A:D,4,0)/50</f>
        <v>5.36</v>
      </c>
      <c r="G21" s="261">
        <f aca="true" t="shared" si="1" ref="G21:G26">F21*E21</f>
        <v>1895.2959999999998</v>
      </c>
    </row>
    <row r="22" spans="1:7" ht="14.25">
      <c r="A22" s="307">
        <v>9</v>
      </c>
      <c r="B22" s="313" t="s">
        <v>1052</v>
      </c>
      <c r="C22" s="259">
        <v>7130870013</v>
      </c>
      <c r="D22" s="1099" t="s">
        <v>452</v>
      </c>
      <c r="E22" s="260">
        <v>2</v>
      </c>
      <c r="F22" s="261">
        <f>VLOOKUP(C22,'SOR RATE'!A:D,4,0)</f>
        <v>100</v>
      </c>
      <c r="G22" s="261">
        <f t="shared" si="1"/>
        <v>200</v>
      </c>
    </row>
    <row r="23" spans="1:7" ht="15.75" customHeight="1">
      <c r="A23" s="307">
        <v>10</v>
      </c>
      <c r="B23" s="304" t="s">
        <v>455</v>
      </c>
      <c r="C23" s="259">
        <v>7130211158</v>
      </c>
      <c r="D23" s="1099" t="s">
        <v>456</v>
      </c>
      <c r="E23" s="260">
        <v>2</v>
      </c>
      <c r="F23" s="261">
        <f>VLOOKUP(C23,'SOR RATE'!A:D,4,0)</f>
        <v>130</v>
      </c>
      <c r="G23" s="261">
        <f t="shared" si="1"/>
        <v>260</v>
      </c>
    </row>
    <row r="24" spans="1:7" ht="16.5" customHeight="1">
      <c r="A24" s="307">
        <v>11</v>
      </c>
      <c r="B24" s="304" t="s">
        <v>457</v>
      </c>
      <c r="C24" s="259">
        <v>7130210809</v>
      </c>
      <c r="D24" s="1099" t="s">
        <v>456</v>
      </c>
      <c r="E24" s="260">
        <v>2</v>
      </c>
      <c r="F24" s="261">
        <f>VLOOKUP(C24,'SOR RATE'!A:D,4,0)</f>
        <v>290</v>
      </c>
      <c r="G24" s="261">
        <f t="shared" si="1"/>
        <v>580</v>
      </c>
    </row>
    <row r="25" spans="1:9" ht="17.25" customHeight="1">
      <c r="A25" s="307">
        <v>12</v>
      </c>
      <c r="B25" s="994" t="s">
        <v>100</v>
      </c>
      <c r="C25" s="995">
        <v>7130610206</v>
      </c>
      <c r="D25" s="1101" t="s">
        <v>458</v>
      </c>
      <c r="E25" s="260">
        <v>7</v>
      </c>
      <c r="F25" s="261">
        <f>VLOOKUP(C25,'SOR RATE'!A:D,4,0)/1000</f>
        <v>66.528</v>
      </c>
      <c r="G25" s="261">
        <f t="shared" si="1"/>
        <v>465.696</v>
      </c>
      <c r="H25" s="64"/>
      <c r="I25" s="64"/>
    </row>
    <row r="26" spans="1:7" ht="15.75" customHeight="1">
      <c r="A26" s="307">
        <v>13</v>
      </c>
      <c r="B26" s="313" t="s">
        <v>1342</v>
      </c>
      <c r="C26" s="259">
        <v>7130880041</v>
      </c>
      <c r="D26" s="1099" t="s">
        <v>1553</v>
      </c>
      <c r="E26" s="260">
        <v>1</v>
      </c>
      <c r="F26" s="261">
        <f>VLOOKUP(C26,'SOR RATE'!A:D,4,0)</f>
        <v>74</v>
      </c>
      <c r="G26" s="261">
        <f t="shared" si="1"/>
        <v>74</v>
      </c>
    </row>
    <row r="27" spans="1:7" ht="15">
      <c r="A27" s="1228">
        <v>14</v>
      </c>
      <c r="B27" s="582" t="s">
        <v>310</v>
      </c>
      <c r="C27" s="259"/>
      <c r="D27" s="1099" t="s">
        <v>458</v>
      </c>
      <c r="E27" s="312">
        <v>6</v>
      </c>
      <c r="F27" s="261"/>
      <c r="G27" s="261"/>
    </row>
    <row r="28" spans="1:7" ht="14.25">
      <c r="A28" s="1229"/>
      <c r="B28" s="583" t="s">
        <v>438</v>
      </c>
      <c r="C28" s="584">
        <v>7130620609</v>
      </c>
      <c r="D28" s="1099" t="s">
        <v>458</v>
      </c>
      <c r="E28" s="260">
        <v>0.5</v>
      </c>
      <c r="F28" s="261">
        <f>VLOOKUP(C28,'SOR RATE'!A:D,4,0)</f>
        <v>64</v>
      </c>
      <c r="G28" s="261">
        <f>F28*E28</f>
        <v>32</v>
      </c>
    </row>
    <row r="29" spans="1:7" ht="14.25">
      <c r="A29" s="1230"/>
      <c r="B29" s="580" t="s">
        <v>1345</v>
      </c>
      <c r="C29" s="259">
        <v>7130620631</v>
      </c>
      <c r="D29" s="1099" t="s">
        <v>458</v>
      </c>
      <c r="E29" s="260">
        <v>5.5</v>
      </c>
      <c r="F29" s="261">
        <f>VLOOKUP(C29,'SOR RATE'!A:D,4,0)</f>
        <v>62</v>
      </c>
      <c r="G29" s="261">
        <f>F29*E29</f>
        <v>341</v>
      </c>
    </row>
    <row r="30" spans="1:7" ht="42.75">
      <c r="A30" s="145">
        <v>15</v>
      </c>
      <c r="B30" s="229" t="s">
        <v>919</v>
      </c>
      <c r="C30" s="238">
        <v>7130642039</v>
      </c>
      <c r="D30" s="1102" t="s">
        <v>452</v>
      </c>
      <c r="E30" s="136">
        <v>2</v>
      </c>
      <c r="F30" s="261">
        <f>VLOOKUP(C30,'SOR RATE'!A:D,4,0)</f>
        <v>820</v>
      </c>
      <c r="G30" s="138">
        <f>F30*E30</f>
        <v>1640</v>
      </c>
    </row>
    <row r="31" spans="1:10" ht="14.25">
      <c r="A31" s="145">
        <v>16</v>
      </c>
      <c r="B31" s="229" t="s">
        <v>920</v>
      </c>
      <c r="C31" s="230"/>
      <c r="D31" s="1103" t="s">
        <v>1553</v>
      </c>
      <c r="E31" s="133">
        <v>1</v>
      </c>
      <c r="F31" s="231">
        <v>90</v>
      </c>
      <c r="G31" s="138">
        <f>F31*E31</f>
        <v>90</v>
      </c>
      <c r="H31" s="28"/>
      <c r="I31" s="73"/>
      <c r="J31" s="73"/>
    </row>
    <row r="32" spans="1:10" ht="14.25">
      <c r="A32" s="145">
        <v>17</v>
      </c>
      <c r="B32" s="258" t="s">
        <v>338</v>
      </c>
      <c r="C32" s="734">
        <v>7130840029</v>
      </c>
      <c r="D32" s="1103" t="s">
        <v>1553</v>
      </c>
      <c r="E32" s="133">
        <v>3</v>
      </c>
      <c r="F32" s="261">
        <f>VLOOKUP(C32,'SOR RATE'!A:D,4,0)</f>
        <v>425</v>
      </c>
      <c r="G32" s="231">
        <f>E32*F32</f>
        <v>1275</v>
      </c>
      <c r="I32" s="1349" t="s">
        <v>339</v>
      </c>
      <c r="J32" s="1349"/>
    </row>
    <row r="33" spans="1:7" ht="14.25">
      <c r="A33" s="145">
        <v>18</v>
      </c>
      <c r="B33" s="229" t="s">
        <v>101</v>
      </c>
      <c r="C33" s="230"/>
      <c r="D33" s="1104" t="s">
        <v>452</v>
      </c>
      <c r="E33" s="133"/>
      <c r="F33" s="231"/>
      <c r="G33" s="231"/>
    </row>
    <row r="34" spans="1:7" ht="15.75" customHeight="1">
      <c r="A34" s="145">
        <v>19</v>
      </c>
      <c r="B34" s="229" t="s">
        <v>921</v>
      </c>
      <c r="C34" s="185">
        <v>7130310660</v>
      </c>
      <c r="D34" s="1102" t="s">
        <v>1368</v>
      </c>
      <c r="E34" s="136">
        <v>10</v>
      </c>
      <c r="F34" s="261">
        <f>VLOOKUP(C34,'SOR RATE'!A63:D63,4,0)/1000</f>
        <v>172.208</v>
      </c>
      <c r="G34" s="138">
        <f>E34*F34</f>
        <v>1722.08</v>
      </c>
    </row>
    <row r="35" spans="1:7" ht="28.5">
      <c r="A35" s="145">
        <v>20</v>
      </c>
      <c r="B35" s="229" t="s">
        <v>922</v>
      </c>
      <c r="C35" s="241">
        <v>7131310033</v>
      </c>
      <c r="D35" s="1105" t="s">
        <v>452</v>
      </c>
      <c r="E35" s="136">
        <v>1</v>
      </c>
      <c r="F35" s="261">
        <f>VLOOKUP(C35,'SOR RATE'!A:D,4,0)</f>
        <v>3970</v>
      </c>
      <c r="G35" s="138">
        <f>E35*F35</f>
        <v>3970</v>
      </c>
    </row>
    <row r="36" spans="1:7" ht="14.25">
      <c r="A36" s="145">
        <v>21</v>
      </c>
      <c r="B36" s="229" t="s">
        <v>923</v>
      </c>
      <c r="C36" s="185">
        <v>7132406425</v>
      </c>
      <c r="D36" s="1106" t="s">
        <v>1553</v>
      </c>
      <c r="E36" s="133">
        <v>1</v>
      </c>
      <c r="F36" s="261">
        <f>VLOOKUP(C36,'SOR RATE'!A:D,4,0)</f>
        <v>2528</v>
      </c>
      <c r="G36" s="231">
        <f>E36*F36</f>
        <v>2528</v>
      </c>
    </row>
    <row r="37" spans="1:7" ht="14.25">
      <c r="A37" s="145">
        <v>22</v>
      </c>
      <c r="B37" s="435" t="s">
        <v>924</v>
      </c>
      <c r="C37" s="183">
        <v>7131310037</v>
      </c>
      <c r="D37" s="1106" t="s">
        <v>1553</v>
      </c>
      <c r="E37" s="133">
        <v>1</v>
      </c>
      <c r="F37" s="261">
        <f>VLOOKUP(C37,'SOR RATE'!A:D,4,0)</f>
        <v>870</v>
      </c>
      <c r="G37" s="231">
        <f>E37*F37</f>
        <v>870</v>
      </c>
    </row>
    <row r="38" spans="1:7" ht="15">
      <c r="A38" s="59">
        <v>23</v>
      </c>
      <c r="B38" s="147" t="s">
        <v>1576</v>
      </c>
      <c r="C38" s="259"/>
      <c r="D38" s="586"/>
      <c r="E38" s="312"/>
      <c r="F38" s="306"/>
      <c r="G38" s="306">
        <f>SUM(G8:G37)</f>
        <v>66060.29380000001</v>
      </c>
    </row>
    <row r="39" spans="1:7" ht="16.5" customHeight="1">
      <c r="A39" s="322">
        <v>24</v>
      </c>
      <c r="B39" s="139" t="s">
        <v>1575</v>
      </c>
      <c r="C39" s="576"/>
      <c r="D39" s="577"/>
      <c r="E39" s="1109"/>
      <c r="F39" s="259">
        <v>0.09</v>
      </c>
      <c r="G39" s="261">
        <f>G38*F39</f>
        <v>5945.426442000001</v>
      </c>
    </row>
    <row r="40" spans="1:7" ht="15.75" customHeight="1">
      <c r="A40" s="303">
        <v>25</v>
      </c>
      <c r="B40" s="180" t="s">
        <v>1372</v>
      </c>
      <c r="C40" s="181"/>
      <c r="D40" s="1097" t="s">
        <v>454</v>
      </c>
      <c r="E40" s="303">
        <v>1.7</v>
      </c>
      <c r="F40" s="182">
        <f>1664*1.27*1.0891*1.086275*1.1112*1.0685</f>
        <v>2968.460981603261</v>
      </c>
      <c r="G40" s="182">
        <f>F40*E40</f>
        <v>5046.383668725544</v>
      </c>
    </row>
    <row r="41" spans="1:7" ht="15.75" customHeight="1">
      <c r="A41" s="307">
        <v>26</v>
      </c>
      <c r="B41" s="556" t="s">
        <v>1133</v>
      </c>
      <c r="C41" s="259"/>
      <c r="D41" s="1099"/>
      <c r="E41" s="260"/>
      <c r="F41" s="260"/>
      <c r="G41" s="261">
        <v>6987.1</v>
      </c>
    </row>
    <row r="42" spans="1:7" ht="31.5" customHeight="1">
      <c r="A42" s="135">
        <v>27</v>
      </c>
      <c r="B42" s="258" t="s">
        <v>99</v>
      </c>
      <c r="C42" s="181"/>
      <c r="D42" s="1097"/>
      <c r="E42" s="303"/>
      <c r="F42" s="182"/>
      <c r="G42" s="182">
        <f>1.1*1.1*1559*1.2*1.1*1.1797*1.1402*0.9368</f>
        <v>3137.653018373385</v>
      </c>
    </row>
    <row r="43" spans="1:7" ht="15" customHeight="1">
      <c r="A43" s="192">
        <v>28</v>
      </c>
      <c r="B43" s="147" t="s">
        <v>1577</v>
      </c>
      <c r="C43" s="181"/>
      <c r="D43" s="1097"/>
      <c r="E43" s="303"/>
      <c r="F43" s="182"/>
      <c r="G43" s="202">
        <f>G38+G39+G40+G41+G42</f>
        <v>87176.85692909894</v>
      </c>
    </row>
    <row r="44" spans="1:7" ht="30.75" customHeight="1">
      <c r="A44" s="300">
        <v>29</v>
      </c>
      <c r="B44" s="139" t="s">
        <v>1578</v>
      </c>
      <c r="C44" s="181"/>
      <c r="D44" s="1097"/>
      <c r="E44" s="303"/>
      <c r="F44" s="182">
        <v>0.11</v>
      </c>
      <c r="G44" s="182">
        <f>G38*F44</f>
        <v>7266.632318000002</v>
      </c>
    </row>
    <row r="45" spans="1:7" ht="17.25" customHeight="1">
      <c r="A45" s="300">
        <v>30</v>
      </c>
      <c r="B45" s="258" t="s">
        <v>1331</v>
      </c>
      <c r="C45" s="181"/>
      <c r="D45" s="1097"/>
      <c r="E45" s="303"/>
      <c r="F45" s="182"/>
      <c r="G45" s="182">
        <f>G43+G44</f>
        <v>94443.48924709894</v>
      </c>
    </row>
    <row r="46" spans="1:7" ht="19.5" customHeight="1">
      <c r="A46" s="320">
        <v>31</v>
      </c>
      <c r="B46" s="587" t="s">
        <v>1056</v>
      </c>
      <c r="C46" s="588"/>
      <c r="D46" s="1107"/>
      <c r="E46" s="320"/>
      <c r="F46" s="319"/>
      <c r="G46" s="319">
        <f>ROUND(G45,0)</f>
        <v>94443</v>
      </c>
    </row>
    <row r="47" spans="1:7" ht="14.25">
      <c r="A47" s="88"/>
      <c r="B47" s="41"/>
      <c r="C47" s="262"/>
      <c r="D47" s="41"/>
      <c r="E47" s="41"/>
      <c r="F47" s="41"/>
      <c r="G47" s="41"/>
    </row>
    <row r="48" spans="1:7" ht="15">
      <c r="A48" s="146"/>
      <c r="B48" s="1224" t="s">
        <v>50</v>
      </c>
      <c r="C48" s="1224"/>
      <c r="D48" s="435"/>
      <c r="E48" s="435"/>
      <c r="F48" s="435"/>
      <c r="G48" s="589"/>
    </row>
    <row r="49" spans="1:7" ht="14.25">
      <c r="A49" s="574"/>
      <c r="B49" s="98"/>
      <c r="C49" s="116"/>
      <c r="D49" s="98"/>
      <c r="E49" s="98"/>
      <c r="F49" s="98"/>
      <c r="G49" s="98"/>
    </row>
    <row r="50" spans="1:7" ht="14.25">
      <c r="A50" s="574"/>
      <c r="B50" s="98"/>
      <c r="C50" s="116"/>
      <c r="D50" s="98"/>
      <c r="E50" s="98"/>
      <c r="F50" s="98"/>
      <c r="G50" s="98"/>
    </row>
    <row r="51" spans="1:7" ht="14.25">
      <c r="A51" s="574"/>
      <c r="B51" s="98"/>
      <c r="C51" s="116"/>
      <c r="D51" s="98"/>
      <c r="E51" s="98"/>
      <c r="F51" s="98"/>
      <c r="G51" s="98"/>
    </row>
    <row r="52" spans="1:7" ht="14.25">
      <c r="A52" s="574"/>
      <c r="B52" s="98"/>
      <c r="C52" s="116"/>
      <c r="D52" s="98"/>
      <c r="E52" s="98"/>
      <c r="F52" s="98"/>
      <c r="G52" s="98"/>
    </row>
    <row r="53" spans="1:7" ht="14.25">
      <c r="A53" s="574"/>
      <c r="B53" s="98"/>
      <c r="C53" s="116"/>
      <c r="D53" s="98"/>
      <c r="E53" s="98"/>
      <c r="F53" s="98"/>
      <c r="G53" s="98"/>
    </row>
    <row r="54" spans="1:7" ht="14.25">
      <c r="A54" s="574"/>
      <c r="B54" s="98"/>
      <c r="C54" s="116"/>
      <c r="D54" s="98"/>
      <c r="E54" s="98"/>
      <c r="F54" s="98"/>
      <c r="G54" s="98"/>
    </row>
    <row r="55" spans="1:7" ht="14.25">
      <c r="A55" s="574"/>
      <c r="B55" s="98"/>
      <c r="C55" s="116"/>
      <c r="D55" s="98"/>
      <c r="E55" s="98"/>
      <c r="F55" s="98"/>
      <c r="G55" s="98"/>
    </row>
    <row r="56" spans="1:7" ht="14.25">
      <c r="A56" s="574"/>
      <c r="B56" s="98"/>
      <c r="C56" s="116"/>
      <c r="D56" s="98"/>
      <c r="E56" s="98"/>
      <c r="F56" s="98"/>
      <c r="G56" s="98"/>
    </row>
    <row r="57" spans="1:7" ht="14.25">
      <c r="A57" s="574"/>
      <c r="B57" s="98"/>
      <c r="C57" s="116"/>
      <c r="D57" s="98"/>
      <c r="E57" s="98"/>
      <c r="F57" s="98"/>
      <c r="G57" s="98"/>
    </row>
    <row r="58" spans="1:7" ht="14.25">
      <c r="A58" s="574"/>
      <c r="B58" s="98"/>
      <c r="C58" s="116"/>
      <c r="D58" s="98"/>
      <c r="E58" s="98"/>
      <c r="F58" s="98"/>
      <c r="G58" s="98"/>
    </row>
    <row r="59" spans="1:7" ht="14.25">
      <c r="A59" s="574"/>
      <c r="B59" s="98"/>
      <c r="C59" s="116"/>
      <c r="D59" s="98"/>
      <c r="E59" s="98"/>
      <c r="F59" s="98"/>
      <c r="G59" s="98"/>
    </row>
    <row r="60" spans="1:7" ht="14.25">
      <c r="A60" s="574"/>
      <c r="B60" s="98"/>
      <c r="C60" s="116"/>
      <c r="D60" s="98"/>
      <c r="E60" s="98"/>
      <c r="F60" s="98"/>
      <c r="G60" s="98"/>
    </row>
    <row r="61" spans="1:7" ht="14.25">
      <c r="A61" s="574"/>
      <c r="B61" s="98"/>
      <c r="C61" s="116"/>
      <c r="D61" s="98"/>
      <c r="E61" s="98"/>
      <c r="F61" s="98"/>
      <c r="G61" s="98"/>
    </row>
    <row r="68" spans="1:3" ht="15.75">
      <c r="A68" s="6"/>
      <c r="B68" s="1145" t="s">
        <v>549</v>
      </c>
      <c r="C68" s="1145"/>
    </row>
    <row r="69" spans="1:3" ht="14.25">
      <c r="A69" s="115" t="s">
        <v>1548</v>
      </c>
      <c r="B69" s="180" t="s">
        <v>170</v>
      </c>
      <c r="C69" s="238">
        <v>7130820155</v>
      </c>
    </row>
    <row r="70" ht="12.75">
      <c r="A70" s="36"/>
    </row>
  </sheetData>
  <sheetProtection/>
  <mergeCells count="15">
    <mergeCell ref="B1:D1"/>
    <mergeCell ref="I32:J32"/>
    <mergeCell ref="B68:C68"/>
    <mergeCell ref="I11:J11"/>
    <mergeCell ref="I13:J13"/>
    <mergeCell ref="B48:C48"/>
    <mergeCell ref="A20:A21"/>
    <mergeCell ref="A14:A19"/>
    <mergeCell ref="A27:A29"/>
    <mergeCell ref="B3:G3"/>
    <mergeCell ref="A5:A6"/>
    <mergeCell ref="B5:B6"/>
    <mergeCell ref="C5:C6"/>
    <mergeCell ref="D5:D6"/>
    <mergeCell ref="E5:G5"/>
  </mergeCells>
  <conditionalFormatting sqref="B38:B39">
    <cfRule type="cellIs" priority="1" dxfId="0" operator="equal" stopIfTrue="1">
      <formula>"?"</formula>
    </cfRule>
  </conditionalFormatting>
  <printOptions/>
  <pageMargins left="0.96" right="0.21" top="0.91" bottom="0.33" header="0.77" footer="0.16"/>
  <pageSetup horizontalDpi="600" verticalDpi="600" orientation="landscape" paperSize="9" scale="12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L45"/>
  <sheetViews>
    <sheetView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421875" style="1" bestFit="1" customWidth="1"/>
    <col min="2" max="2" width="56.57421875" style="1" bestFit="1" customWidth="1"/>
    <col min="3" max="3" width="12.421875" style="1" bestFit="1" customWidth="1"/>
    <col min="4" max="4" width="7.8515625" style="1" bestFit="1" customWidth="1"/>
    <col min="5" max="5" width="10.7109375" style="1" bestFit="1" customWidth="1"/>
    <col min="6" max="6" width="7.28125" style="1" bestFit="1" customWidth="1"/>
    <col min="7" max="7" width="11.8515625" style="1" bestFit="1" customWidth="1"/>
    <col min="8" max="8" width="7.28125" style="1" bestFit="1" customWidth="1"/>
    <col min="9" max="9" width="10.7109375" style="1" bestFit="1" customWidth="1"/>
    <col min="10" max="10" width="9.140625" style="1" customWidth="1"/>
    <col min="11" max="11" width="11.00390625" style="1" customWidth="1"/>
    <col min="12" max="12" width="11.140625" style="1" customWidth="1"/>
    <col min="13" max="16384" width="9.140625" style="1" customWidth="1"/>
  </cols>
  <sheetData>
    <row r="1" spans="1:9" ht="18">
      <c r="A1" s="28"/>
      <c r="B1" s="1153" t="s">
        <v>102</v>
      </c>
      <c r="C1" s="1153"/>
      <c r="D1" s="1153"/>
      <c r="E1" s="28"/>
      <c r="F1" s="28"/>
      <c r="G1" s="28"/>
      <c r="H1" s="28"/>
      <c r="I1" s="28"/>
    </row>
    <row r="2" spans="1:9" ht="15">
      <c r="A2" s="28"/>
      <c r="B2" s="28"/>
      <c r="C2" s="28"/>
      <c r="D2" s="28"/>
      <c r="E2" s="28"/>
      <c r="F2" s="28"/>
      <c r="G2" s="28"/>
      <c r="H2" s="28"/>
      <c r="I2" s="1084" t="s">
        <v>551</v>
      </c>
    </row>
    <row r="3" spans="1:9" ht="18">
      <c r="A3" s="28"/>
      <c r="B3" s="1350" t="s">
        <v>103</v>
      </c>
      <c r="C3" s="1350"/>
      <c r="D3" s="1350"/>
      <c r="E3" s="1350"/>
      <c r="F3" s="1350"/>
      <c r="G3" s="1350"/>
      <c r="H3" s="1350"/>
      <c r="I3" s="1350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75.75" customHeight="1">
      <c r="A5" s="1175" t="s">
        <v>1335</v>
      </c>
      <c r="B5" s="1175" t="s">
        <v>449</v>
      </c>
      <c r="C5" s="1175" t="s">
        <v>1308</v>
      </c>
      <c r="D5" s="1175" t="s">
        <v>450</v>
      </c>
      <c r="E5" s="1175" t="s">
        <v>1309</v>
      </c>
      <c r="F5" s="1175" t="s">
        <v>104</v>
      </c>
      <c r="G5" s="1175"/>
      <c r="H5" s="1175" t="s">
        <v>748</v>
      </c>
      <c r="I5" s="1175"/>
    </row>
    <row r="6" spans="1:9" ht="16.5" customHeight="1">
      <c r="A6" s="1175"/>
      <c r="B6" s="1175"/>
      <c r="C6" s="1175"/>
      <c r="D6" s="1175"/>
      <c r="E6" s="1175"/>
      <c r="F6" s="22" t="s">
        <v>1370</v>
      </c>
      <c r="G6" s="22" t="s">
        <v>800</v>
      </c>
      <c r="H6" s="22" t="s">
        <v>1370</v>
      </c>
      <c r="I6" s="22" t="s">
        <v>800</v>
      </c>
    </row>
    <row r="7" spans="1:9" ht="13.5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</row>
    <row r="8" spans="1:9" ht="90.75" customHeight="1">
      <c r="A8" s="136">
        <v>1</v>
      </c>
      <c r="B8" s="229" t="s">
        <v>1223</v>
      </c>
      <c r="C8" s="140"/>
      <c r="D8" s="141" t="s">
        <v>392</v>
      </c>
      <c r="E8" s="138">
        <v>179001</v>
      </c>
      <c r="F8" s="136">
        <v>1</v>
      </c>
      <c r="G8" s="138">
        <f>E8*F8</f>
        <v>179001</v>
      </c>
      <c r="H8" s="138"/>
      <c r="I8" s="138"/>
    </row>
    <row r="9" spans="1:9" ht="92.25" customHeight="1">
      <c r="A9" s="136">
        <v>2</v>
      </c>
      <c r="B9" s="229" t="s">
        <v>1224</v>
      </c>
      <c r="C9" s="140"/>
      <c r="D9" s="136" t="s">
        <v>435</v>
      </c>
      <c r="E9" s="138">
        <v>135369</v>
      </c>
      <c r="F9" s="136"/>
      <c r="G9" s="138">
        <f aca="true" t="shared" si="0" ref="G9:G29">E9*F9</f>
        <v>0</v>
      </c>
      <c r="H9" s="239">
        <v>1</v>
      </c>
      <c r="I9" s="138">
        <f>E9*H9</f>
        <v>135369</v>
      </c>
    </row>
    <row r="10" spans="1:9" ht="18.75" customHeight="1">
      <c r="A10" s="136">
        <v>3</v>
      </c>
      <c r="B10" s="194" t="s">
        <v>1225</v>
      </c>
      <c r="C10" s="140"/>
      <c r="D10" s="136" t="s">
        <v>435</v>
      </c>
      <c r="E10" s="138"/>
      <c r="F10" s="136"/>
      <c r="G10" s="138"/>
      <c r="H10" s="239"/>
      <c r="I10" s="138"/>
    </row>
    <row r="11" spans="1:9" ht="18.75" customHeight="1">
      <c r="A11" s="136">
        <v>4</v>
      </c>
      <c r="B11" s="996" t="s">
        <v>1226</v>
      </c>
      <c r="C11" s="136"/>
      <c r="D11" s="136" t="s">
        <v>802</v>
      </c>
      <c r="E11" s="138">
        <v>6609.23</v>
      </c>
      <c r="F11" s="136">
        <v>3</v>
      </c>
      <c r="G11" s="138">
        <f t="shared" si="0"/>
        <v>19827.69</v>
      </c>
      <c r="H11" s="239">
        <v>3</v>
      </c>
      <c r="I11" s="138">
        <f aca="true" t="shared" si="1" ref="I11:I29">E11*H11</f>
        <v>19827.69</v>
      </c>
    </row>
    <row r="12" spans="1:9" ht="18.75" customHeight="1">
      <c r="A12" s="136">
        <v>5</v>
      </c>
      <c r="B12" s="996" t="s">
        <v>1227</v>
      </c>
      <c r="C12" s="136"/>
      <c r="D12" s="136" t="s">
        <v>802</v>
      </c>
      <c r="E12" s="138">
        <v>8068.68</v>
      </c>
      <c r="F12" s="136">
        <v>6</v>
      </c>
      <c r="G12" s="138">
        <f t="shared" si="0"/>
        <v>48412.08</v>
      </c>
      <c r="H12" s="239">
        <v>3</v>
      </c>
      <c r="I12" s="138">
        <f t="shared" si="1"/>
        <v>24206.04</v>
      </c>
    </row>
    <row r="13" spans="1:9" ht="18.75" customHeight="1">
      <c r="A13" s="136">
        <v>6</v>
      </c>
      <c r="B13" s="996" t="s">
        <v>1228</v>
      </c>
      <c r="C13" s="150"/>
      <c r="D13" s="135" t="s">
        <v>803</v>
      </c>
      <c r="E13" s="138">
        <v>38188.13</v>
      </c>
      <c r="F13" s="136">
        <v>1</v>
      </c>
      <c r="G13" s="138">
        <f t="shared" si="0"/>
        <v>38188.13</v>
      </c>
      <c r="H13" s="239">
        <v>1</v>
      </c>
      <c r="I13" s="138">
        <f t="shared" si="1"/>
        <v>38188.13</v>
      </c>
    </row>
    <row r="14" spans="1:9" ht="18.75" customHeight="1">
      <c r="A14" s="136">
        <v>7</v>
      </c>
      <c r="B14" s="996" t="s">
        <v>1229</v>
      </c>
      <c r="C14" s="150"/>
      <c r="D14" s="135" t="s">
        <v>1230</v>
      </c>
      <c r="E14" s="138">
        <v>65219.24</v>
      </c>
      <c r="F14" s="136">
        <v>3</v>
      </c>
      <c r="G14" s="138">
        <f t="shared" si="0"/>
        <v>195657.72</v>
      </c>
      <c r="H14" s="239">
        <v>2</v>
      </c>
      <c r="I14" s="138">
        <f t="shared" si="1"/>
        <v>130438.48</v>
      </c>
    </row>
    <row r="15" spans="1:9" ht="31.5" customHeight="1">
      <c r="A15" s="136">
        <v>8</v>
      </c>
      <c r="B15" s="996" t="s">
        <v>1231</v>
      </c>
      <c r="C15" s="150"/>
      <c r="D15" s="135" t="s">
        <v>802</v>
      </c>
      <c r="E15" s="138">
        <v>26773</v>
      </c>
      <c r="F15" s="136">
        <v>1</v>
      </c>
      <c r="G15" s="138">
        <f t="shared" si="0"/>
        <v>26773</v>
      </c>
      <c r="H15" s="239">
        <v>1</v>
      </c>
      <c r="I15" s="138">
        <f t="shared" si="1"/>
        <v>26773</v>
      </c>
    </row>
    <row r="16" spans="1:9" ht="16.5" customHeight="1">
      <c r="A16" s="136">
        <v>9</v>
      </c>
      <c r="B16" s="996" t="s">
        <v>746</v>
      </c>
      <c r="C16" s="150"/>
      <c r="D16" s="135" t="s">
        <v>802</v>
      </c>
      <c r="E16" s="138">
        <v>13379.1</v>
      </c>
      <c r="F16" s="136">
        <v>1</v>
      </c>
      <c r="G16" s="138">
        <f t="shared" si="0"/>
        <v>13379.1</v>
      </c>
      <c r="H16" s="239">
        <v>1</v>
      </c>
      <c r="I16" s="138">
        <f t="shared" si="1"/>
        <v>13379.1</v>
      </c>
    </row>
    <row r="17" spans="1:9" ht="16.5" customHeight="1">
      <c r="A17" s="1351">
        <v>10</v>
      </c>
      <c r="B17" s="996" t="s">
        <v>747</v>
      </c>
      <c r="C17" s="150">
        <v>7130840029</v>
      </c>
      <c r="D17" s="135" t="s">
        <v>1232</v>
      </c>
      <c r="E17" s="138">
        <f>VLOOKUP(C17,'SOR RATE'!A:D,4,0)*3</f>
        <v>1275</v>
      </c>
      <c r="F17" s="136">
        <v>1</v>
      </c>
      <c r="G17" s="138">
        <f t="shared" si="0"/>
        <v>1275</v>
      </c>
      <c r="H17" s="239">
        <v>1</v>
      </c>
      <c r="I17" s="138">
        <f t="shared" si="1"/>
        <v>1275</v>
      </c>
    </row>
    <row r="18" spans="1:9" ht="18" customHeight="1">
      <c r="A18" s="1351"/>
      <c r="B18" s="996" t="s">
        <v>112</v>
      </c>
      <c r="C18" s="150"/>
      <c r="D18" s="135" t="s">
        <v>803</v>
      </c>
      <c r="E18" s="138">
        <v>44956.81</v>
      </c>
      <c r="F18" s="136">
        <v>1</v>
      </c>
      <c r="G18" s="138">
        <f t="shared" si="0"/>
        <v>44956.81</v>
      </c>
      <c r="H18" s="239">
        <v>1</v>
      </c>
      <c r="I18" s="138">
        <f t="shared" si="1"/>
        <v>44956.81</v>
      </c>
    </row>
    <row r="19" spans="1:9" ht="14.25">
      <c r="A19" s="150">
        <v>11</v>
      </c>
      <c r="B19" s="996" t="s">
        <v>113</v>
      </c>
      <c r="C19" s="150"/>
      <c r="D19" s="135" t="s">
        <v>114</v>
      </c>
      <c r="E19" s="138">
        <v>77.35</v>
      </c>
      <c r="F19" s="136">
        <v>1000</v>
      </c>
      <c r="G19" s="138">
        <f t="shared" si="0"/>
        <v>77350</v>
      </c>
      <c r="H19" s="239">
        <v>800</v>
      </c>
      <c r="I19" s="138">
        <f t="shared" si="1"/>
        <v>61879.99999999999</v>
      </c>
    </row>
    <row r="20" spans="1:9" ht="18" customHeight="1">
      <c r="A20" s="136">
        <v>12</v>
      </c>
      <c r="B20" s="996" t="s">
        <v>115</v>
      </c>
      <c r="C20" s="150"/>
      <c r="D20" s="135" t="s">
        <v>1368</v>
      </c>
      <c r="E20" s="138">
        <v>440</v>
      </c>
      <c r="F20" s="136">
        <v>60</v>
      </c>
      <c r="G20" s="138">
        <f t="shared" si="0"/>
        <v>26400</v>
      </c>
      <c r="H20" s="239">
        <v>60</v>
      </c>
      <c r="I20" s="138">
        <f t="shared" si="1"/>
        <v>26400</v>
      </c>
    </row>
    <row r="21" spans="1:9" ht="18" customHeight="1">
      <c r="A21" s="150">
        <v>13</v>
      </c>
      <c r="B21" s="996" t="s">
        <v>116</v>
      </c>
      <c r="C21" s="136">
        <v>7130310660</v>
      </c>
      <c r="D21" s="135" t="s">
        <v>1368</v>
      </c>
      <c r="E21" s="138">
        <f>VLOOKUP(C21,'SOR RATE'!A63:D63,4,0)/1000</f>
        <v>172.208</v>
      </c>
      <c r="F21" s="136">
        <v>60</v>
      </c>
      <c r="G21" s="138">
        <f t="shared" si="0"/>
        <v>10332.48</v>
      </c>
      <c r="H21" s="239">
        <v>60</v>
      </c>
      <c r="I21" s="138">
        <f t="shared" si="1"/>
        <v>10332.48</v>
      </c>
    </row>
    <row r="22" spans="1:9" ht="18" customHeight="1">
      <c r="A22" s="136">
        <v>14</v>
      </c>
      <c r="B22" s="996" t="s">
        <v>117</v>
      </c>
      <c r="C22" s="136">
        <v>7130310652</v>
      </c>
      <c r="D22" s="135" t="s">
        <v>1368</v>
      </c>
      <c r="E22" s="138">
        <f>VLOOKUP(C22,'SOR RATE'!A58:D58,4,0)/1000</f>
        <v>78.312</v>
      </c>
      <c r="F22" s="136">
        <v>60</v>
      </c>
      <c r="G22" s="138">
        <f t="shared" si="0"/>
        <v>4698.72</v>
      </c>
      <c r="H22" s="239">
        <v>60</v>
      </c>
      <c r="I22" s="138">
        <f t="shared" si="1"/>
        <v>4698.72</v>
      </c>
    </row>
    <row r="23" spans="1:9" ht="18" customHeight="1">
      <c r="A23" s="133">
        <v>15</v>
      </c>
      <c r="B23" s="996" t="s">
        <v>118</v>
      </c>
      <c r="C23" s="136">
        <v>7131941762</v>
      </c>
      <c r="D23" s="135" t="s">
        <v>1230</v>
      </c>
      <c r="E23" s="138">
        <f>VLOOKUP(C23,'SOR RATE'!A:D,4,0)</f>
        <v>110737</v>
      </c>
      <c r="F23" s="136">
        <v>1</v>
      </c>
      <c r="G23" s="138">
        <f t="shared" si="0"/>
        <v>110737</v>
      </c>
      <c r="H23" s="239"/>
      <c r="I23" s="138"/>
    </row>
    <row r="24" spans="1:9" ht="18" customHeight="1">
      <c r="A24" s="133">
        <v>16</v>
      </c>
      <c r="B24" s="996" t="s">
        <v>119</v>
      </c>
      <c r="C24" s="136">
        <v>7131941762</v>
      </c>
      <c r="D24" s="135" t="s">
        <v>1230</v>
      </c>
      <c r="E24" s="138">
        <f>VLOOKUP(C24,'SOR RATE'!A:D,4,0)</f>
        <v>110737</v>
      </c>
      <c r="F24" s="136"/>
      <c r="G24" s="138"/>
      <c r="H24" s="239">
        <v>1</v>
      </c>
      <c r="I24" s="138">
        <f t="shared" si="1"/>
        <v>110737</v>
      </c>
    </row>
    <row r="25" spans="1:9" ht="18" customHeight="1">
      <c r="A25" s="133">
        <v>17</v>
      </c>
      <c r="B25" s="996" t="s">
        <v>120</v>
      </c>
      <c r="C25" s="136">
        <v>7131960008</v>
      </c>
      <c r="D25" s="135" t="s">
        <v>1230</v>
      </c>
      <c r="E25" s="138">
        <f>VLOOKUP(C25,'SOR RATE'!A:D,4,0)</f>
        <v>26331</v>
      </c>
      <c r="F25" s="136">
        <v>1</v>
      </c>
      <c r="G25" s="138">
        <f t="shared" si="0"/>
        <v>26331</v>
      </c>
      <c r="H25" s="239">
        <v>1</v>
      </c>
      <c r="I25" s="138">
        <f t="shared" si="1"/>
        <v>26331</v>
      </c>
    </row>
    <row r="26" spans="1:9" ht="18" customHeight="1">
      <c r="A26" s="133">
        <v>18</v>
      </c>
      <c r="B26" s="996" t="s">
        <v>121</v>
      </c>
      <c r="C26" s="136">
        <v>7130310078</v>
      </c>
      <c r="D26" s="135" t="s">
        <v>1368</v>
      </c>
      <c r="E26" s="138">
        <f>VLOOKUP(C26,'SOR RATE'!A:D,4,0)/1000</f>
        <v>775.508</v>
      </c>
      <c r="F26" s="136">
        <v>15</v>
      </c>
      <c r="G26" s="138">
        <f t="shared" si="0"/>
        <v>11632.62</v>
      </c>
      <c r="H26" s="239"/>
      <c r="I26" s="138"/>
    </row>
    <row r="27" spans="1:9" ht="18" customHeight="1">
      <c r="A27" s="133">
        <v>19</v>
      </c>
      <c r="B27" s="996" t="s">
        <v>122</v>
      </c>
      <c r="C27" s="136">
        <v>7130310077</v>
      </c>
      <c r="D27" s="135" t="s">
        <v>1368</v>
      </c>
      <c r="E27" s="138">
        <f>VLOOKUP(C27,'SOR RATE'!A:D,4,0)/1000</f>
        <v>520.056</v>
      </c>
      <c r="F27" s="136"/>
      <c r="G27" s="138"/>
      <c r="H27" s="239">
        <v>15</v>
      </c>
      <c r="I27" s="138">
        <f t="shared" si="1"/>
        <v>7800.84</v>
      </c>
    </row>
    <row r="28" spans="1:9" ht="18" customHeight="1">
      <c r="A28" s="133">
        <v>20</v>
      </c>
      <c r="B28" s="996" t="s">
        <v>123</v>
      </c>
      <c r="C28" s="136">
        <v>7132230019</v>
      </c>
      <c r="D28" s="135" t="s">
        <v>1230</v>
      </c>
      <c r="E28" s="138">
        <f>VLOOKUP(C28,'SOR RATE'!A:D,4,0)</f>
        <v>335</v>
      </c>
      <c r="F28" s="136">
        <v>3</v>
      </c>
      <c r="G28" s="138">
        <f t="shared" si="0"/>
        <v>1005</v>
      </c>
      <c r="H28" s="239">
        <v>3</v>
      </c>
      <c r="I28" s="138">
        <f t="shared" si="1"/>
        <v>1005</v>
      </c>
    </row>
    <row r="29" spans="1:10" ht="18" customHeight="1">
      <c r="A29" s="133">
        <v>21</v>
      </c>
      <c r="B29" s="996" t="s">
        <v>124</v>
      </c>
      <c r="C29" s="136"/>
      <c r="D29" s="135" t="s">
        <v>802</v>
      </c>
      <c r="E29" s="138">
        <v>18491.08</v>
      </c>
      <c r="F29" s="136">
        <v>1</v>
      </c>
      <c r="G29" s="138">
        <f t="shared" si="0"/>
        <v>18491.08</v>
      </c>
      <c r="H29" s="239">
        <v>1</v>
      </c>
      <c r="I29" s="136">
        <f t="shared" si="1"/>
        <v>18491.08</v>
      </c>
      <c r="J29" s="65"/>
    </row>
    <row r="30" spans="1:10" ht="16.5" customHeight="1">
      <c r="A30" s="1228">
        <v>22</v>
      </c>
      <c r="B30" s="587" t="s">
        <v>125</v>
      </c>
      <c r="C30" s="259"/>
      <c r="D30" s="260" t="s">
        <v>454</v>
      </c>
      <c r="E30" s="312"/>
      <c r="F30" s="261"/>
      <c r="G30" s="261"/>
      <c r="H30" s="312"/>
      <c r="I30" s="261"/>
      <c r="J30" s="85"/>
    </row>
    <row r="31" spans="1:10" ht="18" customHeight="1">
      <c r="A31" s="1230"/>
      <c r="B31" s="304" t="s">
        <v>307</v>
      </c>
      <c r="C31" s="259">
        <v>7130200401</v>
      </c>
      <c r="D31" s="260" t="s">
        <v>458</v>
      </c>
      <c r="E31" s="138">
        <f>VLOOKUP(C31,'SOR RATE'!A:D,4,0)/50</f>
        <v>5.36</v>
      </c>
      <c r="F31" s="997">
        <f>208*9.9</f>
        <v>2059.2000000000003</v>
      </c>
      <c r="G31" s="261">
        <f>F31*E31</f>
        <v>11037.312000000002</v>
      </c>
      <c r="H31" s="997">
        <f>208*9.9</f>
        <v>2059.2000000000003</v>
      </c>
      <c r="I31" s="261">
        <f>E31*H31</f>
        <v>11037.312000000002</v>
      </c>
      <c r="J31" s="85"/>
    </row>
    <row r="32" spans="1:12" ht="18" customHeight="1">
      <c r="A32" s="59">
        <v>22</v>
      </c>
      <c r="B32" s="147" t="s">
        <v>1576</v>
      </c>
      <c r="C32" s="40"/>
      <c r="D32" s="59"/>
      <c r="E32" s="59"/>
      <c r="F32" s="59"/>
      <c r="G32" s="148">
        <f>SUM(G8:G31)</f>
        <v>865485.742</v>
      </c>
      <c r="H32" s="1082"/>
      <c r="I32" s="148">
        <f>SUM(I8:I31)</f>
        <v>713126.6819999999</v>
      </c>
      <c r="K32" s="1083"/>
      <c r="L32" s="1083"/>
    </row>
    <row r="33" spans="1:9" ht="18" customHeight="1">
      <c r="A33" s="136">
        <v>23</v>
      </c>
      <c r="B33" s="139" t="s">
        <v>1575</v>
      </c>
      <c r="C33" s="150"/>
      <c r="D33" s="136"/>
      <c r="E33" s="136">
        <v>0.09</v>
      </c>
      <c r="F33" s="136"/>
      <c r="G33" s="138">
        <f>G32*E33</f>
        <v>77893.71677999999</v>
      </c>
      <c r="H33" s="138"/>
      <c r="I33" s="138">
        <f>I32*E33</f>
        <v>64181.40137999999</v>
      </c>
    </row>
    <row r="34" spans="1:9" ht="18" customHeight="1">
      <c r="A34" s="150">
        <v>24</v>
      </c>
      <c r="B34" s="425" t="s">
        <v>293</v>
      </c>
      <c r="C34" s="150"/>
      <c r="D34" s="136"/>
      <c r="E34" s="136"/>
      <c r="F34" s="136"/>
      <c r="G34" s="138">
        <f>0.05*G32</f>
        <v>43274.2871</v>
      </c>
      <c r="H34" s="138"/>
      <c r="I34" s="138">
        <f>0.05*I32</f>
        <v>35656.3341</v>
      </c>
    </row>
    <row r="35" spans="1:9" ht="18" customHeight="1">
      <c r="A35" s="150">
        <v>25</v>
      </c>
      <c r="B35" s="425" t="s">
        <v>1311</v>
      </c>
      <c r="C35" s="150"/>
      <c r="D35" s="136"/>
      <c r="E35" s="138"/>
      <c r="F35" s="136"/>
      <c r="G35" s="138">
        <f>0.03*G32</f>
        <v>25964.572259999997</v>
      </c>
      <c r="H35" s="138"/>
      <c r="I35" s="138">
        <f>0.03*I32</f>
        <v>21393.800459999995</v>
      </c>
    </row>
    <row r="36" spans="1:9" ht="18" customHeight="1">
      <c r="A36" s="150">
        <v>26</v>
      </c>
      <c r="B36" s="425" t="s">
        <v>126</v>
      </c>
      <c r="C36" s="150"/>
      <c r="D36" s="136" t="s">
        <v>454</v>
      </c>
      <c r="E36" s="182">
        <f>1664*1.27*1.0891*1.086275*1.1112*1.0685</f>
        <v>2968.460981603261</v>
      </c>
      <c r="F36" s="136">
        <v>9.9</v>
      </c>
      <c r="G36" s="138">
        <f>E36*F36</f>
        <v>29387.763717872287</v>
      </c>
      <c r="H36" s="737">
        <v>9.9</v>
      </c>
      <c r="I36" s="138">
        <f>E36*H36</f>
        <v>29387.763717872287</v>
      </c>
    </row>
    <row r="37" spans="1:9" ht="18" customHeight="1">
      <c r="A37" s="150">
        <v>27</v>
      </c>
      <c r="B37" s="197" t="s">
        <v>1122</v>
      </c>
      <c r="C37" s="998"/>
      <c r="D37" s="135" t="s">
        <v>452</v>
      </c>
      <c r="E37" s="138">
        <f>1417.73*1.086275*1.1112*1.0685</f>
        <v>1828.5215085400541</v>
      </c>
      <c r="F37" s="136">
        <v>1</v>
      </c>
      <c r="G37" s="138">
        <f>E37*F37</f>
        <v>1828.5215085400541</v>
      </c>
      <c r="H37" s="239">
        <v>1</v>
      </c>
      <c r="I37" s="138">
        <f>E37*H37</f>
        <v>1828.5215085400541</v>
      </c>
    </row>
    <row r="38" spans="1:9" ht="18" customHeight="1">
      <c r="A38" s="40">
        <v>28</v>
      </c>
      <c r="B38" s="147" t="s">
        <v>1577</v>
      </c>
      <c r="C38" s="998"/>
      <c r="D38" s="135"/>
      <c r="E38" s="138"/>
      <c r="F38" s="136"/>
      <c r="G38" s="148">
        <f>G32+G33+G34+G35+G36+G37</f>
        <v>1043834.6033664123</v>
      </c>
      <c r="H38" s="148"/>
      <c r="I38" s="148">
        <f>I32+I33+I34+I35+I36+I37</f>
        <v>865574.5031664121</v>
      </c>
    </row>
    <row r="39" spans="1:9" ht="30.75" customHeight="1">
      <c r="A39" s="136">
        <v>29</v>
      </c>
      <c r="B39" s="139" t="s">
        <v>1578</v>
      </c>
      <c r="C39" s="998"/>
      <c r="D39" s="135"/>
      <c r="E39" s="138">
        <v>0.11</v>
      </c>
      <c r="F39" s="136"/>
      <c r="G39" s="138">
        <f>G32*E39</f>
        <v>95203.43162</v>
      </c>
      <c r="H39" s="138"/>
      <c r="I39" s="138">
        <f>I32*E39</f>
        <v>78443.93501999999</v>
      </c>
    </row>
    <row r="40" spans="1:9" ht="16.5" customHeight="1">
      <c r="A40" s="40">
        <v>30</v>
      </c>
      <c r="B40" s="989" t="s">
        <v>1313</v>
      </c>
      <c r="C40" s="150"/>
      <c r="D40" s="136"/>
      <c r="E40" s="136"/>
      <c r="F40" s="136"/>
      <c r="G40" s="148">
        <f>G38+G39</f>
        <v>1139038.0349864124</v>
      </c>
      <c r="H40" s="148"/>
      <c r="I40" s="148">
        <f>I38+I39</f>
        <v>944018.4381864121</v>
      </c>
    </row>
    <row r="41" spans="1:9" ht="15">
      <c r="A41" s="40">
        <v>31</v>
      </c>
      <c r="B41" s="989" t="s">
        <v>1314</v>
      </c>
      <c r="C41" s="150"/>
      <c r="D41" s="556"/>
      <c r="E41" s="556"/>
      <c r="F41" s="556"/>
      <c r="G41" s="148">
        <f>ROUND(G40,0)</f>
        <v>1139038</v>
      </c>
      <c r="H41" s="148"/>
      <c r="I41" s="148">
        <f>ROUND(I40,0)</f>
        <v>944018</v>
      </c>
    </row>
    <row r="42" ht="17.25" customHeight="1"/>
    <row r="43" spans="1:6" ht="23.25">
      <c r="A43" s="83"/>
      <c r="B43" s="53"/>
      <c r="C43" s="53"/>
      <c r="D43" s="53"/>
      <c r="E43" s="53"/>
      <c r="F43" s="53"/>
    </row>
    <row r="45" ht="20.25">
      <c r="A45" s="72"/>
    </row>
  </sheetData>
  <sheetProtection/>
  <mergeCells count="11">
    <mergeCell ref="A17:A18"/>
    <mergeCell ref="A30:A31"/>
    <mergeCell ref="B1:D1"/>
    <mergeCell ref="B3:I3"/>
    <mergeCell ref="A5:A6"/>
    <mergeCell ref="B5:B6"/>
    <mergeCell ref="C5:C6"/>
    <mergeCell ref="D5:D6"/>
    <mergeCell ref="E5:E6"/>
    <mergeCell ref="F5:G5"/>
    <mergeCell ref="H5:I5"/>
  </mergeCells>
  <printOptions/>
  <pageMargins left="0.75" right="0.15" top="0.62" bottom="0.28" header="0.5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152"/>
  <sheetViews>
    <sheetView zoomScalePageLayoutView="0" workbookViewId="0" topLeftCell="A1">
      <pane xSplit="2" ySplit="6" topLeftCell="C7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9.140625" defaultRowHeight="12.75"/>
  <cols>
    <col min="1" max="1" width="4.28125" style="1" customWidth="1"/>
    <col min="2" max="2" width="59.28125" style="1" customWidth="1"/>
    <col min="3" max="3" width="12.7109375" style="11" customWidth="1"/>
    <col min="4" max="4" width="5.57421875" style="1" customWidth="1"/>
    <col min="5" max="5" width="7.8515625" style="31" bestFit="1" customWidth="1"/>
    <col min="6" max="6" width="8.421875" style="1" bestFit="1" customWidth="1"/>
    <col min="7" max="7" width="10.57421875" style="1" customWidth="1"/>
    <col min="8" max="8" width="5.57421875" style="1" bestFit="1" customWidth="1"/>
    <col min="9" max="9" width="9.57421875" style="1" bestFit="1" customWidth="1"/>
    <col min="10" max="10" width="10.7109375" style="1" bestFit="1" customWidth="1"/>
    <col min="11" max="11" width="9.140625" style="1" customWidth="1"/>
    <col min="12" max="12" width="13.421875" style="1" customWidth="1"/>
    <col min="13" max="13" width="13.00390625" style="1" customWidth="1"/>
    <col min="14" max="16384" width="9.140625" style="1" customWidth="1"/>
  </cols>
  <sheetData>
    <row r="1" spans="2:7" ht="20.25">
      <c r="B1" s="1153" t="s">
        <v>1057</v>
      </c>
      <c r="C1" s="1153"/>
      <c r="D1" s="1153"/>
      <c r="E1" s="37"/>
      <c r="F1" s="37"/>
      <c r="G1" s="417"/>
    </row>
    <row r="2" spans="1:9" ht="14.25" customHeight="1">
      <c r="A2" s="418"/>
      <c r="B2" s="418"/>
      <c r="C2" s="419"/>
      <c r="D2" s="418"/>
      <c r="E2" s="420"/>
      <c r="F2" s="418"/>
      <c r="I2" s="1061" t="s">
        <v>551</v>
      </c>
    </row>
    <row r="3" spans="2:13" ht="38.25" customHeight="1">
      <c r="B3" s="1164" t="s">
        <v>1140</v>
      </c>
      <c r="C3" s="1164"/>
      <c r="D3" s="1164"/>
      <c r="E3" s="1164"/>
      <c r="F3" s="1164"/>
      <c r="G3" s="1164"/>
      <c r="H3" s="356"/>
      <c r="I3" s="356"/>
      <c r="J3" s="356"/>
      <c r="K3" s="356"/>
      <c r="L3" s="356"/>
      <c r="M3" s="356"/>
    </row>
    <row r="4" spans="1:12" ht="15.75">
      <c r="A4" s="421"/>
      <c r="B4" s="421"/>
      <c r="C4" s="422"/>
      <c r="D4" s="421"/>
      <c r="E4" s="423"/>
      <c r="F4" s="421"/>
      <c r="G4" s="421"/>
      <c r="H4" s="1165" t="s">
        <v>550</v>
      </c>
      <c r="I4" s="1165"/>
      <c r="J4" s="1165"/>
      <c r="K4" s="357"/>
      <c r="L4" s="357"/>
    </row>
    <row r="5" spans="1:12" ht="32.25" customHeight="1">
      <c r="A5" s="1175" t="s">
        <v>1335</v>
      </c>
      <c r="B5" s="1176" t="s">
        <v>449</v>
      </c>
      <c r="C5" s="1177" t="s">
        <v>53</v>
      </c>
      <c r="D5" s="1179" t="s">
        <v>450</v>
      </c>
      <c r="E5" s="1176" t="s">
        <v>171</v>
      </c>
      <c r="F5" s="1180"/>
      <c r="G5" s="1179"/>
      <c r="H5" s="1173" t="s">
        <v>1074</v>
      </c>
      <c r="I5" s="1173"/>
      <c r="J5" s="1173"/>
      <c r="L5" s="424"/>
    </row>
    <row r="6" spans="1:10" ht="17.25" customHeight="1">
      <c r="A6" s="1175"/>
      <c r="B6" s="1176"/>
      <c r="C6" s="1178"/>
      <c r="D6" s="1179"/>
      <c r="E6" s="155" t="s">
        <v>1370</v>
      </c>
      <c r="F6" s="155" t="s">
        <v>799</v>
      </c>
      <c r="G6" s="155" t="s">
        <v>7</v>
      </c>
      <c r="H6" s="202" t="s">
        <v>1370</v>
      </c>
      <c r="I6" s="202" t="s">
        <v>1309</v>
      </c>
      <c r="J6" s="202" t="s">
        <v>7</v>
      </c>
    </row>
    <row r="7" spans="1:10" ht="1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1047">
        <v>7</v>
      </c>
      <c r="H7" s="40">
        <v>8</v>
      </c>
      <c r="I7" s="40">
        <v>9</v>
      </c>
      <c r="J7" s="40">
        <v>10</v>
      </c>
    </row>
    <row r="8" spans="1:13" ht="33" customHeight="1">
      <c r="A8" s="136">
        <v>1</v>
      </c>
      <c r="B8" s="189" t="s">
        <v>1058</v>
      </c>
      <c r="C8" s="238">
        <v>7130601965</v>
      </c>
      <c r="D8" s="136" t="s">
        <v>458</v>
      </c>
      <c r="E8" s="136">
        <f>37.1*11*12</f>
        <v>4897.200000000001</v>
      </c>
      <c r="F8" s="138">
        <f>VLOOKUP(C8,'SOR RATE'!A:D,4,0)/1000</f>
        <v>44.989</v>
      </c>
      <c r="G8" s="1048">
        <f>F8*E8</f>
        <v>220320.1308</v>
      </c>
      <c r="H8" s="222"/>
      <c r="I8" s="222"/>
      <c r="J8" s="222"/>
      <c r="K8" s="507"/>
      <c r="L8" s="507"/>
      <c r="M8" s="507"/>
    </row>
    <row r="9" spans="1:13" ht="30.75" customHeight="1">
      <c r="A9" s="136">
        <v>2</v>
      </c>
      <c r="B9" s="139" t="s">
        <v>842</v>
      </c>
      <c r="C9" s="140">
        <v>7130601072</v>
      </c>
      <c r="D9" s="141" t="s">
        <v>458</v>
      </c>
      <c r="E9" s="136"/>
      <c r="F9" s="138"/>
      <c r="G9" s="1048"/>
      <c r="H9" s="138"/>
      <c r="I9" s="138"/>
      <c r="J9" s="138"/>
      <c r="K9" s="507"/>
      <c r="L9" s="507"/>
      <c r="M9" s="507"/>
    </row>
    <row r="10" spans="1:13" ht="18" customHeight="1">
      <c r="A10" s="136">
        <v>3</v>
      </c>
      <c r="B10" s="139" t="s">
        <v>1075</v>
      </c>
      <c r="C10" s="140"/>
      <c r="D10" s="141" t="s">
        <v>452</v>
      </c>
      <c r="E10" s="136"/>
      <c r="F10" s="138"/>
      <c r="G10" s="1048"/>
      <c r="H10" s="239">
        <v>12</v>
      </c>
      <c r="I10" s="224">
        <v>5022</v>
      </c>
      <c r="J10" s="138">
        <f>H10*I10</f>
        <v>60264</v>
      </c>
      <c r="K10" s="507"/>
      <c r="L10" s="1166" t="s">
        <v>1076</v>
      </c>
      <c r="M10" s="1166"/>
    </row>
    <row r="11" spans="1:10" ht="18" customHeight="1">
      <c r="A11" s="136">
        <v>4</v>
      </c>
      <c r="B11" s="189" t="s">
        <v>1367</v>
      </c>
      <c r="C11" s="238">
        <v>7130810495</v>
      </c>
      <c r="D11" s="136" t="s">
        <v>452</v>
      </c>
      <c r="E11" s="136">
        <v>12</v>
      </c>
      <c r="F11" s="138">
        <f>VLOOKUP(C11,'SOR RATE'!A:D,4,0)</f>
        <v>1048</v>
      </c>
      <c r="G11" s="1048">
        <f aca="true" t="shared" si="0" ref="G11:G23">F11*E11</f>
        <v>12576</v>
      </c>
      <c r="H11" s="239">
        <v>12</v>
      </c>
      <c r="I11" s="138">
        <f>VLOOKUP(C11,'SOR RATE'!A:D,4,0)</f>
        <v>1048</v>
      </c>
      <c r="J11" s="138">
        <f aca="true" t="shared" si="1" ref="J11:J48">H11*I11</f>
        <v>12576</v>
      </c>
    </row>
    <row r="12" spans="1:10" ht="16.5" customHeight="1">
      <c r="A12" s="1167">
        <v>5</v>
      </c>
      <c r="B12" s="189" t="s">
        <v>1063</v>
      </c>
      <c r="C12" s="246"/>
      <c r="D12" s="247"/>
      <c r="E12" s="247"/>
      <c r="F12" s="247"/>
      <c r="G12" s="247"/>
      <c r="H12" s="239"/>
      <c r="I12" s="138"/>
      <c r="J12" s="138"/>
    </row>
    <row r="13" spans="1:10" ht="15.75" customHeight="1">
      <c r="A13" s="1168"/>
      <c r="B13" s="425" t="s">
        <v>1188</v>
      </c>
      <c r="C13" s="140">
        <v>7130810692</v>
      </c>
      <c r="D13" s="141" t="s">
        <v>452</v>
      </c>
      <c r="E13" s="136">
        <v>12</v>
      </c>
      <c r="F13" s="138">
        <f>VLOOKUP(C13,'SOR RATE'!A:D,4,0)</f>
        <v>294</v>
      </c>
      <c r="G13" s="1048">
        <f>F13*E13</f>
        <v>3528</v>
      </c>
      <c r="H13" s="239"/>
      <c r="I13" s="138"/>
      <c r="J13" s="138"/>
    </row>
    <row r="14" spans="1:10" ht="15.75" customHeight="1">
      <c r="A14" s="1168"/>
      <c r="B14" s="139" t="s">
        <v>1343</v>
      </c>
      <c r="C14" s="140">
        <v>7130810201</v>
      </c>
      <c r="D14" s="141" t="s">
        <v>452</v>
      </c>
      <c r="E14" s="136"/>
      <c r="F14" s="138"/>
      <c r="G14" s="1048"/>
      <c r="H14" s="239"/>
      <c r="I14" s="138"/>
      <c r="J14" s="138"/>
    </row>
    <row r="15" spans="1:10" ht="15.75" customHeight="1">
      <c r="A15" s="1168"/>
      <c r="B15" s="139" t="s">
        <v>1344</v>
      </c>
      <c r="C15" s="140">
        <v>7130810251</v>
      </c>
      <c r="D15" s="141" t="s">
        <v>452</v>
      </c>
      <c r="E15" s="136"/>
      <c r="F15" s="138"/>
      <c r="G15" s="1048"/>
      <c r="H15" s="239"/>
      <c r="I15" s="138"/>
      <c r="J15" s="138"/>
    </row>
    <row r="16" spans="1:10" ht="15.75" customHeight="1">
      <c r="A16" s="1169"/>
      <c r="B16" s="139" t="s">
        <v>1071</v>
      </c>
      <c r="C16" s="140">
        <v>7130810193</v>
      </c>
      <c r="D16" s="141" t="s">
        <v>452</v>
      </c>
      <c r="E16" s="136"/>
      <c r="F16" s="138"/>
      <c r="G16" s="1048"/>
      <c r="H16" s="239">
        <v>12</v>
      </c>
      <c r="I16" s="138">
        <f>VLOOKUP(C16,'SOR RATE'!A:D,4,0)</f>
        <v>265</v>
      </c>
      <c r="J16" s="138">
        <f t="shared" si="1"/>
        <v>3180</v>
      </c>
    </row>
    <row r="17" spans="1:10" ht="17.25" customHeight="1">
      <c r="A17" s="136">
        <v>6</v>
      </c>
      <c r="B17" s="304" t="s">
        <v>1362</v>
      </c>
      <c r="C17" s="238">
        <v>7130810679</v>
      </c>
      <c r="D17" s="136" t="s">
        <v>452</v>
      </c>
      <c r="E17" s="136">
        <v>12</v>
      </c>
      <c r="F17" s="138">
        <f>VLOOKUP(C17,'SOR RATE'!A:D,4,0)</f>
        <v>294</v>
      </c>
      <c r="G17" s="1048">
        <f t="shared" si="0"/>
        <v>3528</v>
      </c>
      <c r="H17" s="239">
        <v>12</v>
      </c>
      <c r="I17" s="138">
        <f>VLOOKUP(C17,'SOR RATE'!A:D,4,0)</f>
        <v>294</v>
      </c>
      <c r="J17" s="138">
        <f t="shared" si="1"/>
        <v>3528</v>
      </c>
    </row>
    <row r="18" spans="1:10" ht="18" customHeight="1">
      <c r="A18" s="136">
        <v>7</v>
      </c>
      <c r="B18" s="189" t="s">
        <v>942</v>
      </c>
      <c r="C18" s="238">
        <v>7130870013</v>
      </c>
      <c r="D18" s="136" t="s">
        <v>452</v>
      </c>
      <c r="E18" s="136">
        <v>12</v>
      </c>
      <c r="F18" s="138">
        <f>VLOOKUP(C18,'SOR RATE'!A:D,4,0)</f>
        <v>100</v>
      </c>
      <c r="G18" s="1048">
        <f t="shared" si="0"/>
        <v>1200</v>
      </c>
      <c r="H18" s="239">
        <v>12</v>
      </c>
      <c r="I18" s="138">
        <f>VLOOKUP(C18,'SOR RATE'!A:D,4,0)</f>
        <v>100</v>
      </c>
      <c r="J18" s="138">
        <f t="shared" si="1"/>
        <v>1200</v>
      </c>
    </row>
    <row r="19" spans="1:13" ht="17.25" customHeight="1">
      <c r="A19" s="136">
        <v>8</v>
      </c>
      <c r="B19" s="139" t="s">
        <v>168</v>
      </c>
      <c r="C19" s="140">
        <v>7130820008</v>
      </c>
      <c r="D19" s="136" t="s">
        <v>452</v>
      </c>
      <c r="E19" s="136">
        <v>36</v>
      </c>
      <c r="F19" s="138">
        <f>VLOOKUP(C19,'SOR RATE'!A:D,4,0)</f>
        <v>157</v>
      </c>
      <c r="G19" s="1048">
        <f t="shared" si="0"/>
        <v>5652</v>
      </c>
      <c r="H19" s="239">
        <v>36</v>
      </c>
      <c r="I19" s="138">
        <f>VLOOKUP(C19,'SOR RATE'!A:D,4,0)</f>
        <v>157</v>
      </c>
      <c r="J19" s="138">
        <f t="shared" si="1"/>
        <v>5652</v>
      </c>
      <c r="L19" s="1170" t="s">
        <v>169</v>
      </c>
      <c r="M19" s="1170"/>
    </row>
    <row r="20" spans="1:10" ht="17.25" customHeight="1">
      <c r="A20" s="136">
        <v>9</v>
      </c>
      <c r="B20" s="338" t="s">
        <v>300</v>
      </c>
      <c r="C20" s="238">
        <v>7130830057</v>
      </c>
      <c r="D20" s="136" t="s">
        <v>1368</v>
      </c>
      <c r="E20" s="136">
        <v>3100</v>
      </c>
      <c r="F20" s="138">
        <f>VLOOKUP(C20,'SOR RATE'!A:D,4,0)/1000</f>
        <v>33.544</v>
      </c>
      <c r="G20" s="1048">
        <f t="shared" si="0"/>
        <v>103986.4</v>
      </c>
      <c r="H20" s="239">
        <v>3100</v>
      </c>
      <c r="I20" s="138">
        <f>VLOOKUP(C20,'SOR RATE'!A:D,4,0)/1000</f>
        <v>33.544</v>
      </c>
      <c r="J20" s="138">
        <f t="shared" si="1"/>
        <v>103986.4</v>
      </c>
    </row>
    <row r="21" spans="1:10" ht="17.25" customHeight="1">
      <c r="A21" s="136">
        <v>10</v>
      </c>
      <c r="B21" s="189" t="s">
        <v>943</v>
      </c>
      <c r="C21" s="238">
        <v>7130830854</v>
      </c>
      <c r="D21" s="136" t="s">
        <v>452</v>
      </c>
      <c r="E21" s="136">
        <v>6</v>
      </c>
      <c r="F21" s="138">
        <f>VLOOKUP(C21,'SOR RATE'!A:D,4,0)</f>
        <v>26</v>
      </c>
      <c r="G21" s="1048">
        <f t="shared" si="0"/>
        <v>156</v>
      </c>
      <c r="H21" s="239">
        <v>6</v>
      </c>
      <c r="I21" s="138">
        <f>VLOOKUP(C21,'SOR RATE'!A:D,4,0)</f>
        <v>26</v>
      </c>
      <c r="J21" s="138">
        <f t="shared" si="1"/>
        <v>156</v>
      </c>
    </row>
    <row r="22" spans="1:10" ht="17.25" customHeight="1">
      <c r="A22" s="1167">
        <v>11</v>
      </c>
      <c r="B22" s="189" t="s">
        <v>944</v>
      </c>
      <c r="C22" s="238">
        <v>7130860032</v>
      </c>
      <c r="D22" s="136" t="s">
        <v>452</v>
      </c>
      <c r="E22" s="136">
        <v>4</v>
      </c>
      <c r="F22" s="138">
        <f>VLOOKUP(C22,'SOR RATE'!A:D,4,0)</f>
        <v>387</v>
      </c>
      <c r="G22" s="1048">
        <f t="shared" si="0"/>
        <v>1548</v>
      </c>
      <c r="H22" s="239">
        <v>4</v>
      </c>
      <c r="I22" s="138">
        <f>VLOOKUP(C22,'SOR RATE'!A:D,4,0)</f>
        <v>387</v>
      </c>
      <c r="J22" s="138">
        <f t="shared" si="1"/>
        <v>1548</v>
      </c>
    </row>
    <row r="23" spans="1:10" ht="15.75" customHeight="1">
      <c r="A23" s="1168"/>
      <c r="B23" s="338" t="s">
        <v>945</v>
      </c>
      <c r="C23" s="238">
        <v>7130860077</v>
      </c>
      <c r="D23" s="136" t="s">
        <v>458</v>
      </c>
      <c r="E23" s="136">
        <v>34</v>
      </c>
      <c r="F23" s="138">
        <f>VLOOKUP(C23,'SOR RATE'!A:D,4,0)/1000</f>
        <v>61.6</v>
      </c>
      <c r="G23" s="1048">
        <f t="shared" si="0"/>
        <v>2094.4</v>
      </c>
      <c r="H23" s="239">
        <v>34</v>
      </c>
      <c r="I23" s="138">
        <f>VLOOKUP(C23,'SOR RATE'!A:D,4,0)/1000</f>
        <v>61.6</v>
      </c>
      <c r="J23" s="138">
        <f t="shared" si="1"/>
        <v>2094.4</v>
      </c>
    </row>
    <row r="24" spans="1:10" ht="17.25" customHeight="1">
      <c r="A24" s="1168"/>
      <c r="B24" s="338" t="s">
        <v>946</v>
      </c>
      <c r="C24" s="426"/>
      <c r="D24" s="427"/>
      <c r="E24" s="427"/>
      <c r="F24" s="427"/>
      <c r="G24" s="427"/>
      <c r="H24" s="138"/>
      <c r="I24" s="138"/>
      <c r="J24" s="138"/>
    </row>
    <row r="25" spans="1:10" ht="17.25" customHeight="1">
      <c r="A25" s="1168"/>
      <c r="B25" s="425" t="s">
        <v>1158</v>
      </c>
      <c r="C25" s="140">
        <v>7130810692</v>
      </c>
      <c r="D25" s="141" t="s">
        <v>452</v>
      </c>
      <c r="E25" s="136">
        <v>4</v>
      </c>
      <c r="F25" s="138">
        <f>VLOOKUP(C25,'SOR RATE'!A:D,4,0)</f>
        <v>294</v>
      </c>
      <c r="G25" s="1048">
        <f>F25*E25</f>
        <v>1176</v>
      </c>
      <c r="H25" s="138"/>
      <c r="I25" s="138"/>
      <c r="J25" s="138"/>
    </row>
    <row r="26" spans="1:10" ht="17.25" customHeight="1">
      <c r="A26" s="1168"/>
      <c r="B26" s="139" t="s">
        <v>1343</v>
      </c>
      <c r="C26" s="140">
        <v>7130810201</v>
      </c>
      <c r="D26" s="141" t="s">
        <v>452</v>
      </c>
      <c r="E26" s="136"/>
      <c r="F26" s="138"/>
      <c r="G26" s="1048"/>
      <c r="H26" s="138"/>
      <c r="I26" s="138"/>
      <c r="J26" s="138"/>
    </row>
    <row r="27" spans="1:10" ht="17.25" customHeight="1">
      <c r="A27" s="1168"/>
      <c r="B27" s="139" t="s">
        <v>1344</v>
      </c>
      <c r="C27" s="140">
        <v>7130810251</v>
      </c>
      <c r="D27" s="141" t="s">
        <v>452</v>
      </c>
      <c r="E27" s="136"/>
      <c r="F27" s="138"/>
      <c r="G27" s="1048"/>
      <c r="H27" s="138"/>
      <c r="I27" s="138"/>
      <c r="J27" s="138"/>
    </row>
    <row r="28" spans="1:10" ht="17.25" customHeight="1">
      <c r="A28" s="1169"/>
      <c r="B28" s="139" t="s">
        <v>1071</v>
      </c>
      <c r="C28" s="140">
        <v>7130810193</v>
      </c>
      <c r="D28" s="141" t="s">
        <v>452</v>
      </c>
      <c r="E28" s="136"/>
      <c r="F28" s="138"/>
      <c r="G28" s="1048"/>
      <c r="H28" s="239">
        <v>4</v>
      </c>
      <c r="I28" s="138">
        <f>VLOOKUP(C28,'SOR RATE'!A:D,4,0)</f>
        <v>265</v>
      </c>
      <c r="J28" s="138">
        <f>H28*I28</f>
        <v>1060</v>
      </c>
    </row>
    <row r="29" spans="1:10" ht="47.25" customHeight="1">
      <c r="A29" s="1171">
        <v>12</v>
      </c>
      <c r="B29" s="189" t="s">
        <v>1072</v>
      </c>
      <c r="C29" s="238"/>
      <c r="D29" s="135" t="s">
        <v>1160</v>
      </c>
      <c r="E29" s="135">
        <f>(12*0.65)+(6*0.2)</f>
        <v>9</v>
      </c>
      <c r="F29" s="138"/>
      <c r="G29" s="1048"/>
      <c r="H29" s="135">
        <f>(12*0.65)+(6*0.2)</f>
        <v>9</v>
      </c>
      <c r="I29" s="138"/>
      <c r="J29" s="138"/>
    </row>
    <row r="30" spans="1:10" ht="17.25" customHeight="1">
      <c r="A30" s="1172"/>
      <c r="B30" s="338" t="s">
        <v>1346</v>
      </c>
      <c r="C30" s="238">
        <v>7130200401</v>
      </c>
      <c r="D30" s="136" t="s">
        <v>458</v>
      </c>
      <c r="E30" s="136">
        <f>E29*208</f>
        <v>1872</v>
      </c>
      <c r="F30" s="138">
        <f>VLOOKUP(C30,'SOR RATE'!A:D,4,0)/50</f>
        <v>5.36</v>
      </c>
      <c r="G30" s="1048">
        <f aca="true" t="shared" si="2" ref="G30:G35">F30*E30</f>
        <v>10033.92</v>
      </c>
      <c r="H30" s="239">
        <f>H29*208</f>
        <v>1872</v>
      </c>
      <c r="I30" s="138">
        <f>VLOOKUP(C30,'SOR RATE'!A:D,4,0)/50</f>
        <v>5.36</v>
      </c>
      <c r="J30" s="138">
        <f t="shared" si="1"/>
        <v>10033.92</v>
      </c>
    </row>
    <row r="31" spans="1:10" ht="17.25" customHeight="1">
      <c r="A31" s="136">
        <v>13</v>
      </c>
      <c r="B31" s="338" t="s">
        <v>455</v>
      </c>
      <c r="C31" s="238">
        <v>7130211158</v>
      </c>
      <c r="D31" s="136" t="s">
        <v>456</v>
      </c>
      <c r="E31" s="136">
        <v>3</v>
      </c>
      <c r="F31" s="138">
        <f>VLOOKUP(C31,'SOR RATE'!A:D,4,0)</f>
        <v>130</v>
      </c>
      <c r="G31" s="1048">
        <f>F31*E31</f>
        <v>390</v>
      </c>
      <c r="H31" s="737">
        <v>1.7</v>
      </c>
      <c r="I31" s="138">
        <f>VLOOKUP(C31,'SOR RATE'!A:D,4,0)</f>
        <v>130</v>
      </c>
      <c r="J31" s="138">
        <f t="shared" si="1"/>
        <v>221</v>
      </c>
    </row>
    <row r="32" spans="1:10" ht="17.25" customHeight="1">
      <c r="A32" s="136">
        <v>14</v>
      </c>
      <c r="B32" s="338" t="s">
        <v>457</v>
      </c>
      <c r="C32" s="238">
        <v>7130210809</v>
      </c>
      <c r="D32" s="136" t="s">
        <v>456</v>
      </c>
      <c r="E32" s="136">
        <v>3</v>
      </c>
      <c r="F32" s="138">
        <f>VLOOKUP(C32,'SOR RATE'!A:D,4,0)</f>
        <v>290</v>
      </c>
      <c r="G32" s="1048">
        <f t="shared" si="2"/>
        <v>870</v>
      </c>
      <c r="H32" s="737">
        <v>1.8</v>
      </c>
      <c r="I32" s="138">
        <f>VLOOKUP(C32,'SOR RATE'!A:D,4,0)</f>
        <v>290</v>
      </c>
      <c r="J32" s="138">
        <f t="shared" si="1"/>
        <v>522</v>
      </c>
    </row>
    <row r="33" spans="1:13" ht="16.5" customHeight="1">
      <c r="A33" s="136">
        <v>15</v>
      </c>
      <c r="B33" s="139" t="s">
        <v>308</v>
      </c>
      <c r="C33" s="140">
        <v>7130610206</v>
      </c>
      <c r="D33" s="136" t="s">
        <v>458</v>
      </c>
      <c r="E33" s="136">
        <v>12</v>
      </c>
      <c r="F33" s="138">
        <f>VLOOKUP(C33,'SOR RATE'!A:D,4,0)/1000</f>
        <v>66.528</v>
      </c>
      <c r="G33" s="1048">
        <f t="shared" si="2"/>
        <v>798.336</v>
      </c>
      <c r="H33" s="239">
        <v>12</v>
      </c>
      <c r="I33" s="138">
        <f>VLOOKUP(C33,'SOR RATE'!A:D,4,0)/1000</f>
        <v>66.528</v>
      </c>
      <c r="J33" s="138">
        <f t="shared" si="1"/>
        <v>798.336</v>
      </c>
      <c r="K33" s="52"/>
      <c r="L33" s="52"/>
      <c r="M33" s="52"/>
    </row>
    <row r="34" spans="1:10" ht="16.5" customHeight="1">
      <c r="A34" s="136">
        <v>16</v>
      </c>
      <c r="B34" s="338" t="s">
        <v>1342</v>
      </c>
      <c r="C34" s="238">
        <v>7130880041</v>
      </c>
      <c r="D34" s="136" t="s">
        <v>1553</v>
      </c>
      <c r="E34" s="136">
        <v>12</v>
      </c>
      <c r="F34" s="138">
        <f>VLOOKUP(C34,'SOR RATE'!A:D,4,0)</f>
        <v>74</v>
      </c>
      <c r="G34" s="1048">
        <f t="shared" si="2"/>
        <v>888</v>
      </c>
      <c r="H34" s="239">
        <v>12</v>
      </c>
      <c r="I34" s="138">
        <f>VLOOKUP(C34,'SOR RATE'!A:D,4,0)</f>
        <v>74</v>
      </c>
      <c r="J34" s="138">
        <f t="shared" si="1"/>
        <v>888</v>
      </c>
    </row>
    <row r="35" spans="1:10" ht="16.5" customHeight="1">
      <c r="A35" s="136">
        <v>17</v>
      </c>
      <c r="B35" s="338" t="s">
        <v>1590</v>
      </c>
      <c r="C35" s="238">
        <v>7130830006</v>
      </c>
      <c r="D35" s="136" t="s">
        <v>458</v>
      </c>
      <c r="E35" s="136">
        <v>3</v>
      </c>
      <c r="F35" s="138">
        <f>VLOOKUP(C35,'SOR RATE'!A:D,4,0)</f>
        <v>139</v>
      </c>
      <c r="G35" s="1048">
        <f t="shared" si="2"/>
        <v>417</v>
      </c>
      <c r="H35" s="737">
        <v>3.5</v>
      </c>
      <c r="I35" s="138">
        <f>VLOOKUP(C35,'SOR RATE'!A:D,4,0)</f>
        <v>139</v>
      </c>
      <c r="J35" s="138">
        <f t="shared" si="1"/>
        <v>486.5</v>
      </c>
    </row>
    <row r="36" spans="1:10" ht="14.25">
      <c r="A36" s="1171">
        <v>18</v>
      </c>
      <c r="B36" s="338" t="s">
        <v>310</v>
      </c>
      <c r="C36" s="238"/>
      <c r="D36" s="136" t="s">
        <v>458</v>
      </c>
      <c r="E36" s="136">
        <v>13</v>
      </c>
      <c r="F36" s="138"/>
      <c r="G36" s="1048"/>
      <c r="H36" s="239">
        <v>18</v>
      </c>
      <c r="I36" s="138"/>
      <c r="J36" s="138"/>
    </row>
    <row r="37" spans="1:10" ht="15.75" customHeight="1">
      <c r="A37" s="1174"/>
      <c r="B37" s="425" t="s">
        <v>438</v>
      </c>
      <c r="C37" s="238">
        <v>7130620609</v>
      </c>
      <c r="D37" s="136" t="s">
        <v>458</v>
      </c>
      <c r="E37" s="136">
        <v>0.5</v>
      </c>
      <c r="F37" s="138">
        <f>VLOOKUP(C37,'SOR RATE'!A:D,4,0)</f>
        <v>64</v>
      </c>
      <c r="G37" s="1048">
        <f>F37*E37</f>
        <v>32</v>
      </c>
      <c r="H37" s="138"/>
      <c r="I37" s="138"/>
      <c r="J37" s="138"/>
    </row>
    <row r="38" spans="1:10" ht="17.25" customHeight="1">
      <c r="A38" s="1174"/>
      <c r="B38" s="425" t="s">
        <v>1336</v>
      </c>
      <c r="C38" s="238">
        <v>7130620614</v>
      </c>
      <c r="D38" s="136" t="s">
        <v>458</v>
      </c>
      <c r="E38" s="136">
        <v>6</v>
      </c>
      <c r="F38" s="138">
        <f>VLOOKUP(C38,'SOR RATE'!A:D,4,0)</f>
        <v>63</v>
      </c>
      <c r="G38" s="1048">
        <f>F38*E38</f>
        <v>378</v>
      </c>
      <c r="H38" s="138"/>
      <c r="I38" s="138"/>
      <c r="J38" s="138"/>
    </row>
    <row r="39" spans="1:10" ht="17.25" customHeight="1">
      <c r="A39" s="1174"/>
      <c r="B39" s="139" t="s">
        <v>1337</v>
      </c>
      <c r="C39" s="140">
        <v>7130620619</v>
      </c>
      <c r="D39" s="141" t="s">
        <v>458</v>
      </c>
      <c r="E39" s="136"/>
      <c r="F39" s="138"/>
      <c r="G39" s="1048"/>
      <c r="H39" s="737">
        <v>3.5</v>
      </c>
      <c r="I39" s="138">
        <f>VLOOKUP(C39,'SOR RATE'!A:D,4,0)</f>
        <v>63</v>
      </c>
      <c r="J39" s="138">
        <f t="shared" si="1"/>
        <v>220.5</v>
      </c>
    </row>
    <row r="40" spans="1:10" ht="15.75" customHeight="1">
      <c r="A40" s="1174"/>
      <c r="B40" s="425" t="s">
        <v>1338</v>
      </c>
      <c r="C40" s="238">
        <v>7130620625</v>
      </c>
      <c r="D40" s="136" t="s">
        <v>458</v>
      </c>
      <c r="E40" s="136">
        <v>6.5</v>
      </c>
      <c r="F40" s="138">
        <f>VLOOKUP(C40,'SOR RATE'!A:D,4,0)</f>
        <v>62</v>
      </c>
      <c r="G40" s="1048">
        <f>F40*E40</f>
        <v>403</v>
      </c>
      <c r="H40" s="138"/>
      <c r="I40" s="138"/>
      <c r="J40" s="138"/>
    </row>
    <row r="41" spans="1:10" ht="15.75" customHeight="1">
      <c r="A41" s="1172"/>
      <c r="B41" s="139" t="s">
        <v>1339</v>
      </c>
      <c r="C41" s="140">
        <v>7130620627</v>
      </c>
      <c r="D41" s="141" t="s">
        <v>458</v>
      </c>
      <c r="E41" s="136"/>
      <c r="F41" s="138"/>
      <c r="G41" s="1048"/>
      <c r="H41" s="737">
        <v>14.5</v>
      </c>
      <c r="I41" s="138">
        <f>VLOOKUP(C41,'SOR RATE'!A:D,4,0)</f>
        <v>62</v>
      </c>
      <c r="J41" s="138">
        <f t="shared" si="1"/>
        <v>899</v>
      </c>
    </row>
    <row r="42" spans="1:10" ht="18.75" customHeight="1">
      <c r="A42" s="1167">
        <v>19</v>
      </c>
      <c r="B42" s="338" t="s">
        <v>1161</v>
      </c>
      <c r="C42" s="238"/>
      <c r="D42" s="136" t="s">
        <v>439</v>
      </c>
      <c r="E42" s="136"/>
      <c r="F42" s="138"/>
      <c r="G42" s="1048"/>
      <c r="H42" s="138"/>
      <c r="I42" s="138"/>
      <c r="J42" s="138"/>
    </row>
    <row r="43" spans="1:10" ht="14.25">
      <c r="A43" s="1168"/>
      <c r="B43" s="338" t="s">
        <v>1162</v>
      </c>
      <c r="C43" s="238">
        <v>7130810511</v>
      </c>
      <c r="D43" s="136" t="s">
        <v>452</v>
      </c>
      <c r="E43" s="136">
        <v>1</v>
      </c>
      <c r="F43" s="138">
        <f>VLOOKUP(C43,'SOR RATE'!A:D,4,0)</f>
        <v>2485</v>
      </c>
      <c r="G43" s="1048">
        <f aca="true" t="shared" si="3" ref="G43:G48">F43*E43</f>
        <v>2485</v>
      </c>
      <c r="H43" s="239">
        <v>1</v>
      </c>
      <c r="I43" s="138">
        <f>VLOOKUP(C43,'SOR RATE'!A:D,4,0)</f>
        <v>2485</v>
      </c>
      <c r="J43" s="138">
        <f t="shared" si="1"/>
        <v>2485</v>
      </c>
    </row>
    <row r="44" spans="1:10" ht="14.25">
      <c r="A44" s="1168"/>
      <c r="B44" s="338" t="s">
        <v>1334</v>
      </c>
      <c r="C44" s="238">
        <v>7130870043</v>
      </c>
      <c r="D44" s="136" t="s">
        <v>458</v>
      </c>
      <c r="E44" s="136">
        <v>35</v>
      </c>
      <c r="F44" s="138">
        <f>VLOOKUP(C44,'SOR RATE'!A:D,4,0)/1000</f>
        <v>55.094</v>
      </c>
      <c r="G44" s="1048">
        <f t="shared" si="3"/>
        <v>1928.29</v>
      </c>
      <c r="H44" s="239">
        <v>35</v>
      </c>
      <c r="I44" s="138">
        <f>VLOOKUP(C44,'SOR RATE'!A:D,4,0)/1000</f>
        <v>55.094</v>
      </c>
      <c r="J44" s="138">
        <f t="shared" si="1"/>
        <v>1928.29</v>
      </c>
    </row>
    <row r="45" spans="1:10" ht="14.25">
      <c r="A45" s="1168"/>
      <c r="B45" s="338" t="s">
        <v>305</v>
      </c>
      <c r="C45" s="238">
        <v>7130810026</v>
      </c>
      <c r="D45" s="136" t="s">
        <v>452</v>
      </c>
      <c r="E45" s="136">
        <v>2</v>
      </c>
      <c r="F45" s="138">
        <f>VLOOKUP(C45,'SOR RATE'!A:D,4,0)</f>
        <v>142</v>
      </c>
      <c r="G45" s="1048">
        <f t="shared" si="3"/>
        <v>284</v>
      </c>
      <c r="H45" s="239">
        <v>2</v>
      </c>
      <c r="I45" s="138">
        <f>VLOOKUP(C45,'SOR RATE'!A:D,4,0)</f>
        <v>142</v>
      </c>
      <c r="J45" s="138">
        <f t="shared" si="1"/>
        <v>284</v>
      </c>
    </row>
    <row r="46" spans="1:10" ht="14.25">
      <c r="A46" s="1168"/>
      <c r="B46" s="338" t="s">
        <v>1163</v>
      </c>
      <c r="C46" s="238">
        <v>7130860077</v>
      </c>
      <c r="D46" s="136" t="s">
        <v>458</v>
      </c>
      <c r="E46" s="136">
        <v>17</v>
      </c>
      <c r="F46" s="138">
        <f>VLOOKUP(C46,'SOR RATE'!A:D,4,0)/1000</f>
        <v>61.6</v>
      </c>
      <c r="G46" s="1048">
        <f t="shared" si="3"/>
        <v>1047.2</v>
      </c>
      <c r="H46" s="239">
        <v>17</v>
      </c>
      <c r="I46" s="138">
        <f>VLOOKUP(C46,'SOR RATE'!A:D,4,0)/1000</f>
        <v>61.6</v>
      </c>
      <c r="J46" s="138">
        <f t="shared" si="1"/>
        <v>1047.2</v>
      </c>
    </row>
    <row r="47" spans="1:10" ht="14.25">
      <c r="A47" s="1168"/>
      <c r="B47" s="338" t="s">
        <v>1164</v>
      </c>
      <c r="C47" s="238">
        <v>7130860032</v>
      </c>
      <c r="D47" s="136" t="s">
        <v>452</v>
      </c>
      <c r="E47" s="136">
        <v>2</v>
      </c>
      <c r="F47" s="138">
        <f>VLOOKUP(C47,'SOR RATE'!A:D,4,0)</f>
        <v>387</v>
      </c>
      <c r="G47" s="1048">
        <f t="shared" si="3"/>
        <v>774</v>
      </c>
      <c r="H47" s="239">
        <v>2</v>
      </c>
      <c r="I47" s="138">
        <f>VLOOKUP(C47,'SOR RATE'!A:D,4,0)</f>
        <v>387</v>
      </c>
      <c r="J47" s="138">
        <f t="shared" si="1"/>
        <v>774</v>
      </c>
    </row>
    <row r="48" spans="1:10" ht="16.5" customHeight="1">
      <c r="A48" s="1169"/>
      <c r="B48" s="425" t="s">
        <v>1165</v>
      </c>
      <c r="C48" s="238">
        <v>7130620013</v>
      </c>
      <c r="D48" s="136" t="s">
        <v>803</v>
      </c>
      <c r="E48" s="136">
        <v>4</v>
      </c>
      <c r="F48" s="138">
        <f>VLOOKUP(C48,'SOR RATE'!A:D,4,0)</f>
        <v>118</v>
      </c>
      <c r="G48" s="1048">
        <f t="shared" si="3"/>
        <v>472</v>
      </c>
      <c r="H48" s="239">
        <v>4</v>
      </c>
      <c r="I48" s="138">
        <f>VLOOKUP(C48,'SOR RATE'!A:D,4,0)</f>
        <v>118</v>
      </c>
      <c r="J48" s="138">
        <f t="shared" si="1"/>
        <v>472</v>
      </c>
    </row>
    <row r="49" spans="1:10" ht="15">
      <c r="A49" s="59">
        <v>20</v>
      </c>
      <c r="B49" s="147" t="s">
        <v>1576</v>
      </c>
      <c r="C49" s="240"/>
      <c r="D49" s="59"/>
      <c r="E49" s="59"/>
      <c r="F49" s="59"/>
      <c r="G49" s="1049">
        <f>SUM(G8:G48)</f>
        <v>376965.6768</v>
      </c>
      <c r="H49" s="148"/>
      <c r="I49" s="148"/>
      <c r="J49" s="148">
        <f>SUM(J8:J48)</f>
        <v>216304.54600000003</v>
      </c>
    </row>
    <row r="50" spans="1:10" ht="17.25" customHeight="1">
      <c r="A50" s="339">
        <v>21</v>
      </c>
      <c r="B50" s="139" t="s">
        <v>1575</v>
      </c>
      <c r="C50" s="246"/>
      <c r="D50" s="247"/>
      <c r="E50" s="247"/>
      <c r="F50" s="238">
        <v>0.09</v>
      </c>
      <c r="G50" s="1048">
        <f>G49*F50</f>
        <v>33926.910912</v>
      </c>
      <c r="H50" s="179"/>
      <c r="I50" s="179" t="s">
        <v>867</v>
      </c>
      <c r="J50" s="138">
        <f>J49*I50</f>
        <v>19467.409140000003</v>
      </c>
    </row>
    <row r="51" spans="1:10" ht="18" customHeight="1">
      <c r="A51" s="135">
        <v>22</v>
      </c>
      <c r="B51" s="425" t="s">
        <v>1372</v>
      </c>
      <c r="C51" s="140"/>
      <c r="D51" s="135" t="s">
        <v>454</v>
      </c>
      <c r="E51" s="135">
        <v>9</v>
      </c>
      <c r="F51" s="137">
        <f>1.27*1664*1.0891*1.086275*1.1112*1.0685</f>
        <v>2968.460981603261</v>
      </c>
      <c r="G51" s="1050">
        <f>F51*E51</f>
        <v>26716.14883442935</v>
      </c>
      <c r="H51" s="225">
        <v>9</v>
      </c>
      <c r="I51" s="137">
        <f>+F51</f>
        <v>2968.460981603261</v>
      </c>
      <c r="J51" s="137">
        <f>H51*I51</f>
        <v>26716.14883442935</v>
      </c>
    </row>
    <row r="52" spans="1:11" ht="15" customHeight="1">
      <c r="A52" s="136">
        <v>23</v>
      </c>
      <c r="B52" s="338" t="s">
        <v>1166</v>
      </c>
      <c r="C52" s="238"/>
      <c r="D52" s="136"/>
      <c r="E52" s="136"/>
      <c r="F52" s="136"/>
      <c r="G52" s="1048">
        <v>38447.12</v>
      </c>
      <c r="H52" s="139"/>
      <c r="I52" s="139"/>
      <c r="J52" s="141" t="s">
        <v>1633</v>
      </c>
      <c r="K52" s="294"/>
    </row>
    <row r="53" spans="1:10" ht="32.25" customHeight="1">
      <c r="A53" s="135">
        <v>24</v>
      </c>
      <c r="B53" s="189" t="s">
        <v>99</v>
      </c>
      <c r="C53" s="140"/>
      <c r="D53" s="135"/>
      <c r="E53" s="135"/>
      <c r="F53" s="137"/>
      <c r="G53" s="1050">
        <f>1.1*1.1*4108*1.2*1.1*1.1797*1.1402*0.9368</f>
        <v>8267.786144629807</v>
      </c>
      <c r="H53" s="222"/>
      <c r="I53" s="222"/>
      <c r="J53" s="137">
        <f>1.1*1.1*4108*1.2*1.1*1.1797*1.1402*0.9368</f>
        <v>8267.786144629807</v>
      </c>
    </row>
    <row r="54" spans="1:10" ht="16.5" customHeight="1">
      <c r="A54" s="22">
        <v>25</v>
      </c>
      <c r="B54" s="147" t="s">
        <v>1577</v>
      </c>
      <c r="C54" s="140"/>
      <c r="D54" s="135"/>
      <c r="E54" s="135"/>
      <c r="F54" s="137"/>
      <c r="G54" s="1051">
        <f>G49+G50+G51+G52+G53</f>
        <v>484323.64269105915</v>
      </c>
      <c r="H54" s="202"/>
      <c r="I54" s="202"/>
      <c r="J54" s="202">
        <f>J49+J50+J51+J52+J53</f>
        <v>309203.0101190592</v>
      </c>
    </row>
    <row r="55" spans="1:10" ht="31.5" customHeight="1">
      <c r="A55" s="135">
        <v>26</v>
      </c>
      <c r="B55" s="139" t="s">
        <v>1578</v>
      </c>
      <c r="C55" s="140"/>
      <c r="D55" s="135"/>
      <c r="E55" s="135"/>
      <c r="F55" s="137">
        <v>0.11</v>
      </c>
      <c r="G55" s="1050">
        <f>G49*F55</f>
        <v>41466.224448</v>
      </c>
      <c r="H55" s="137"/>
      <c r="I55" s="137">
        <v>0.11</v>
      </c>
      <c r="J55" s="137">
        <f>J49*I55</f>
        <v>23793.500060000002</v>
      </c>
    </row>
    <row r="56" spans="1:10" ht="17.25" customHeight="1">
      <c r="A56" s="135">
        <v>27</v>
      </c>
      <c r="B56" s="189" t="s">
        <v>1332</v>
      </c>
      <c r="C56" s="140"/>
      <c r="D56" s="135"/>
      <c r="E56" s="135"/>
      <c r="F56" s="137"/>
      <c r="G56" s="1050">
        <f>G54+G55</f>
        <v>525789.8671390591</v>
      </c>
      <c r="H56" s="137"/>
      <c r="I56" s="137"/>
      <c r="J56" s="137">
        <f>J54+J55</f>
        <v>332996.5101790592</v>
      </c>
    </row>
    <row r="57" spans="1:10" ht="17.25" customHeight="1">
      <c r="A57" s="22">
        <v>28</v>
      </c>
      <c r="B57" s="203" t="s">
        <v>1333</v>
      </c>
      <c r="C57" s="265"/>
      <c r="D57" s="22"/>
      <c r="E57" s="22"/>
      <c r="F57" s="202"/>
      <c r="G57" s="1051">
        <f>ROUND(G56,0)</f>
        <v>525790</v>
      </c>
      <c r="H57" s="202"/>
      <c r="I57" s="202"/>
      <c r="J57" s="202">
        <f>ROUND(J56,0)</f>
        <v>332997</v>
      </c>
    </row>
    <row r="58" spans="1:7" ht="15">
      <c r="A58" s="428"/>
      <c r="B58" s="428"/>
      <c r="C58" s="429"/>
      <c r="D58" s="428"/>
      <c r="E58" s="430"/>
      <c r="F58" s="428"/>
      <c r="G58" s="431"/>
    </row>
    <row r="59" spans="1:7" ht="15">
      <c r="A59" s="432" t="s">
        <v>319</v>
      </c>
      <c r="B59" s="432"/>
      <c r="C59" s="433"/>
      <c r="D59" s="41"/>
      <c r="E59" s="434"/>
      <c r="F59" s="41"/>
      <c r="G59" s="41"/>
    </row>
    <row r="60" spans="1:7" ht="14.25">
      <c r="A60" s="435"/>
      <c r="B60" s="435" t="s">
        <v>462</v>
      </c>
      <c r="C60" s="436"/>
      <c r="D60" s="435"/>
      <c r="E60" s="437"/>
      <c r="F60" s="435"/>
      <c r="G60" s="435"/>
    </row>
    <row r="61" spans="1:7" ht="15">
      <c r="A61" s="8"/>
      <c r="B61" s="8"/>
      <c r="C61" s="9"/>
      <c r="D61" s="8"/>
      <c r="E61" s="90"/>
      <c r="F61" s="8"/>
      <c r="G61" s="8"/>
    </row>
    <row r="62" spans="1:7" ht="15">
      <c r="A62" s="8"/>
      <c r="B62" s="8"/>
      <c r="C62" s="9"/>
      <c r="D62" s="8"/>
      <c r="E62" s="90"/>
      <c r="F62" s="8"/>
      <c r="G62" s="8"/>
    </row>
    <row r="63" spans="1:7" ht="15">
      <c r="A63" s="8"/>
      <c r="B63" s="8"/>
      <c r="C63" s="9"/>
      <c r="D63" s="8"/>
      <c r="E63" s="90"/>
      <c r="F63" s="8"/>
      <c r="G63" s="8"/>
    </row>
    <row r="64" spans="1:7" ht="15">
      <c r="A64" s="8"/>
      <c r="B64" s="8"/>
      <c r="C64" s="9"/>
      <c r="D64" s="8"/>
      <c r="E64" s="90"/>
      <c r="F64" s="8"/>
      <c r="G64" s="8"/>
    </row>
    <row r="65" spans="1:7" ht="15">
      <c r="A65" s="8"/>
      <c r="B65" s="8"/>
      <c r="C65" s="9"/>
      <c r="D65" s="8"/>
      <c r="E65" s="90"/>
      <c r="F65" s="8"/>
      <c r="G65" s="8"/>
    </row>
    <row r="66" spans="1:7" ht="15">
      <c r="A66" s="8"/>
      <c r="B66" s="8"/>
      <c r="C66" s="9"/>
      <c r="D66" s="8"/>
      <c r="E66" s="90"/>
      <c r="F66" s="8"/>
      <c r="G66" s="8"/>
    </row>
    <row r="67" spans="1:7" ht="15">
      <c r="A67" s="8"/>
      <c r="B67" s="8"/>
      <c r="C67" s="9"/>
      <c r="D67" s="8"/>
      <c r="E67" s="90"/>
      <c r="F67" s="8"/>
      <c r="G67" s="8"/>
    </row>
    <row r="68" spans="1:7" ht="15">
      <c r="A68" s="8"/>
      <c r="B68" s="8"/>
      <c r="C68" s="9"/>
      <c r="D68" s="8"/>
      <c r="E68" s="90"/>
      <c r="F68" s="8"/>
      <c r="G68" s="8"/>
    </row>
    <row r="69" spans="1:7" ht="15">
      <c r="A69" s="8"/>
      <c r="B69" s="8"/>
      <c r="C69" s="9"/>
      <c r="D69" s="8"/>
      <c r="E69" s="90"/>
      <c r="F69" s="8"/>
      <c r="G69" s="8"/>
    </row>
    <row r="70" spans="1:7" ht="15">
      <c r="A70" s="8"/>
      <c r="B70" s="8"/>
      <c r="C70" s="9"/>
      <c r="D70" s="8"/>
      <c r="E70" s="90"/>
      <c r="F70" s="8"/>
      <c r="G70" s="8"/>
    </row>
    <row r="71" spans="1:7" ht="15">
      <c r="A71" s="8"/>
      <c r="B71" s="8"/>
      <c r="C71" s="9"/>
      <c r="D71" s="8"/>
      <c r="E71" s="90"/>
      <c r="F71" s="8"/>
      <c r="G71" s="8"/>
    </row>
    <row r="72" spans="1:7" ht="15">
      <c r="A72" s="8"/>
      <c r="B72" s="8"/>
      <c r="C72" s="9"/>
      <c r="D72" s="8"/>
      <c r="E72" s="90"/>
      <c r="F72" s="8"/>
      <c r="G72" s="8"/>
    </row>
    <row r="73" spans="1:7" ht="15">
      <c r="A73" s="8"/>
      <c r="B73" s="8"/>
      <c r="C73" s="9"/>
      <c r="D73" s="8"/>
      <c r="E73" s="90"/>
      <c r="F73" s="8"/>
      <c r="G73" s="8"/>
    </row>
    <row r="74" spans="1:7" ht="15">
      <c r="A74" s="8"/>
      <c r="B74" s="8"/>
      <c r="C74" s="9"/>
      <c r="D74" s="8"/>
      <c r="E74" s="90"/>
      <c r="F74" s="8"/>
      <c r="G74" s="8"/>
    </row>
    <row r="75" spans="1:7" ht="15">
      <c r="A75" s="8"/>
      <c r="B75" s="8"/>
      <c r="C75" s="9"/>
      <c r="D75" s="8"/>
      <c r="E75" s="90"/>
      <c r="F75" s="8"/>
      <c r="G75" s="8"/>
    </row>
    <row r="76" spans="1:7" ht="15">
      <c r="A76" s="8"/>
      <c r="B76" s="8"/>
      <c r="C76" s="9"/>
      <c r="D76" s="8"/>
      <c r="E76" s="90"/>
      <c r="F76" s="8"/>
      <c r="G76" s="8"/>
    </row>
    <row r="77" spans="1:7" ht="15">
      <c r="A77" s="8"/>
      <c r="B77" s="8"/>
      <c r="C77" s="9"/>
      <c r="D77" s="8"/>
      <c r="E77" s="90"/>
      <c r="F77" s="8"/>
      <c r="G77" s="8"/>
    </row>
    <row r="78" spans="1:7" ht="15">
      <c r="A78" s="8"/>
      <c r="B78" s="8"/>
      <c r="C78" s="9"/>
      <c r="D78" s="8"/>
      <c r="E78" s="90"/>
      <c r="F78" s="8"/>
      <c r="G78" s="8"/>
    </row>
    <row r="79" spans="1:7" ht="15">
      <c r="A79" s="8"/>
      <c r="B79" s="8"/>
      <c r="C79" s="9"/>
      <c r="D79" s="8"/>
      <c r="E79" s="90"/>
      <c r="F79" s="8"/>
      <c r="G79" s="8"/>
    </row>
    <row r="80" spans="1:7" ht="15">
      <c r="A80" s="8"/>
      <c r="B80" s="8"/>
      <c r="C80" s="9"/>
      <c r="D80" s="8"/>
      <c r="E80" s="90"/>
      <c r="F80" s="8"/>
      <c r="G80" s="8"/>
    </row>
    <row r="81" spans="1:7" ht="15">
      <c r="A81" s="8"/>
      <c r="B81" s="8"/>
      <c r="C81" s="9"/>
      <c r="D81" s="8"/>
      <c r="E81" s="90"/>
      <c r="F81" s="8"/>
      <c r="G81" s="8"/>
    </row>
    <row r="82" spans="1:7" ht="15">
      <c r="A82" s="8"/>
      <c r="B82" s="8"/>
      <c r="C82" s="9"/>
      <c r="D82" s="8"/>
      <c r="E82" s="90"/>
      <c r="F82" s="8"/>
      <c r="G82" s="8"/>
    </row>
    <row r="83" spans="1:7" ht="15">
      <c r="A83" s="8"/>
      <c r="B83" s="8"/>
      <c r="C83" s="9"/>
      <c r="D83" s="8"/>
      <c r="E83" s="90"/>
      <c r="F83" s="8"/>
      <c r="G83" s="8"/>
    </row>
    <row r="84" spans="1:7" ht="15">
      <c r="A84" s="8"/>
      <c r="B84" s="8"/>
      <c r="C84" s="9"/>
      <c r="D84" s="8"/>
      <c r="E84" s="90"/>
      <c r="F84" s="8"/>
      <c r="G84" s="8"/>
    </row>
    <row r="85" spans="1:7" ht="15.75">
      <c r="A85" s="6"/>
      <c r="B85" s="1145" t="s">
        <v>549</v>
      </c>
      <c r="C85" s="1145"/>
      <c r="D85" s="8"/>
      <c r="E85" s="90"/>
      <c r="F85" s="8"/>
      <c r="G85" s="8"/>
    </row>
    <row r="86" spans="1:7" ht="15">
      <c r="A86" s="115" t="s">
        <v>1548</v>
      </c>
      <c r="B86" s="180" t="s">
        <v>170</v>
      </c>
      <c r="C86" s="238">
        <v>7130820155</v>
      </c>
      <c r="D86" s="8"/>
      <c r="E86" s="90"/>
      <c r="F86" s="8"/>
      <c r="G86" s="8"/>
    </row>
    <row r="87" spans="1:7" ht="15">
      <c r="A87" s="8"/>
      <c r="B87" s="8"/>
      <c r="C87" s="9"/>
      <c r="D87" s="8"/>
      <c r="E87" s="90"/>
      <c r="F87" s="8"/>
      <c r="G87" s="8"/>
    </row>
    <row r="88" spans="1:7" ht="15">
      <c r="A88" s="8"/>
      <c r="B88" s="8"/>
      <c r="C88" s="9"/>
      <c r="D88" s="8"/>
      <c r="E88" s="90"/>
      <c r="F88" s="8"/>
      <c r="G88" s="8"/>
    </row>
    <row r="89" spans="1:7" ht="15">
      <c r="A89" s="8"/>
      <c r="B89" s="8"/>
      <c r="C89" s="9"/>
      <c r="D89" s="8"/>
      <c r="E89" s="90"/>
      <c r="F89" s="8"/>
      <c r="G89" s="8"/>
    </row>
    <row r="90" spans="1:7" ht="15">
      <c r="A90" s="8"/>
      <c r="B90" s="8"/>
      <c r="C90" s="9"/>
      <c r="D90" s="8"/>
      <c r="E90" s="90"/>
      <c r="F90" s="8"/>
      <c r="G90" s="8"/>
    </row>
    <row r="91" spans="1:7" ht="15">
      <c r="A91" s="8"/>
      <c r="B91" s="8"/>
      <c r="C91" s="9"/>
      <c r="D91" s="8"/>
      <c r="E91" s="90"/>
      <c r="F91" s="8"/>
      <c r="G91" s="8"/>
    </row>
    <row r="92" spans="2:10" ht="18" customHeight="1">
      <c r="B92" s="438"/>
      <c r="C92" s="438"/>
      <c r="D92" s="8"/>
      <c r="E92" s="90"/>
      <c r="F92" s="8"/>
      <c r="G92" s="8"/>
      <c r="H92" s="318"/>
      <c r="I92" s="318"/>
      <c r="J92" s="318"/>
    </row>
    <row r="93" spans="1:7" ht="15">
      <c r="A93" s="8"/>
      <c r="B93" s="8"/>
      <c r="C93" s="9"/>
      <c r="D93" s="8"/>
      <c r="E93" s="90"/>
      <c r="F93" s="8"/>
      <c r="G93" s="8"/>
    </row>
    <row r="94" spans="1:7" ht="15">
      <c r="A94" s="8"/>
      <c r="B94" s="8"/>
      <c r="C94" s="9"/>
      <c r="D94" s="8"/>
      <c r="E94" s="90"/>
      <c r="F94" s="8"/>
      <c r="G94" s="8"/>
    </row>
    <row r="95" spans="1:7" ht="15">
      <c r="A95" s="8"/>
      <c r="B95" s="8"/>
      <c r="C95" s="9"/>
      <c r="D95" s="8"/>
      <c r="E95" s="90"/>
      <c r="F95" s="8"/>
      <c r="G95" s="8"/>
    </row>
    <row r="96" spans="1:7" ht="15">
      <c r="A96" s="8"/>
      <c r="B96" s="8"/>
      <c r="C96" s="9"/>
      <c r="D96" s="8"/>
      <c r="E96" s="90"/>
      <c r="F96" s="8"/>
      <c r="G96" s="8"/>
    </row>
    <row r="97" spans="1:7" ht="15">
      <c r="A97" s="8"/>
      <c r="B97" s="8"/>
      <c r="C97" s="9"/>
      <c r="D97" s="8"/>
      <c r="E97" s="90"/>
      <c r="F97" s="8"/>
      <c r="G97" s="8"/>
    </row>
    <row r="98" spans="1:7" ht="15">
      <c r="A98" s="8"/>
      <c r="B98" s="8"/>
      <c r="C98" s="9"/>
      <c r="D98" s="8"/>
      <c r="E98" s="90"/>
      <c r="F98" s="8"/>
      <c r="G98" s="8"/>
    </row>
    <row r="99" spans="1:7" ht="15">
      <c r="A99" s="8"/>
      <c r="B99" s="8"/>
      <c r="C99" s="9"/>
      <c r="D99" s="8"/>
      <c r="E99" s="90"/>
      <c r="F99" s="8"/>
      <c r="G99" s="8"/>
    </row>
    <row r="100" spans="1:7" ht="15">
      <c r="A100" s="8"/>
      <c r="B100" s="8"/>
      <c r="C100" s="9"/>
      <c r="D100" s="8"/>
      <c r="E100" s="90"/>
      <c r="F100" s="8"/>
      <c r="G100" s="8"/>
    </row>
    <row r="101" spans="1:7" ht="15">
      <c r="A101" s="8"/>
      <c r="B101" s="8"/>
      <c r="C101" s="9"/>
      <c r="D101" s="8"/>
      <c r="E101" s="90"/>
      <c r="F101" s="8"/>
      <c r="G101" s="8"/>
    </row>
    <row r="102" spans="1:7" ht="15">
      <c r="A102" s="8"/>
      <c r="B102" s="8"/>
      <c r="C102" s="9"/>
      <c r="D102" s="8"/>
      <c r="E102" s="90"/>
      <c r="F102" s="8"/>
      <c r="G102" s="8"/>
    </row>
    <row r="103" spans="1:7" ht="15">
      <c r="A103" s="8"/>
      <c r="B103" s="8"/>
      <c r="C103" s="9"/>
      <c r="D103" s="8"/>
      <c r="E103" s="90"/>
      <c r="F103" s="8"/>
      <c r="G103" s="8"/>
    </row>
    <row r="104" spans="1:7" ht="15">
      <c r="A104" s="8"/>
      <c r="B104" s="8"/>
      <c r="C104" s="9"/>
      <c r="D104" s="8"/>
      <c r="E104" s="90"/>
      <c r="F104" s="8"/>
      <c r="G104" s="8"/>
    </row>
    <row r="105" spans="1:7" ht="15">
      <c r="A105" s="8"/>
      <c r="B105" s="8"/>
      <c r="C105" s="9"/>
      <c r="D105" s="8"/>
      <c r="E105" s="90"/>
      <c r="F105" s="8"/>
      <c r="G105" s="8"/>
    </row>
    <row r="106" spans="1:7" ht="15">
      <c r="A106" s="8"/>
      <c r="B106" s="8"/>
      <c r="C106" s="9"/>
      <c r="D106" s="8"/>
      <c r="E106" s="90"/>
      <c r="F106" s="8"/>
      <c r="G106" s="8"/>
    </row>
    <row r="107" spans="1:7" ht="15">
      <c r="A107" s="8"/>
      <c r="B107" s="8"/>
      <c r="C107" s="9"/>
      <c r="D107" s="8"/>
      <c r="E107" s="90"/>
      <c r="F107" s="8"/>
      <c r="G107" s="8"/>
    </row>
    <row r="108" spans="1:7" ht="15">
      <c r="A108" s="8"/>
      <c r="B108" s="8"/>
      <c r="C108" s="9"/>
      <c r="D108" s="8"/>
      <c r="E108" s="90"/>
      <c r="F108" s="8"/>
      <c r="G108" s="8"/>
    </row>
    <row r="109" spans="1:7" ht="15">
      <c r="A109" s="8"/>
      <c r="B109" s="8"/>
      <c r="C109" s="9"/>
      <c r="D109" s="8"/>
      <c r="E109" s="90"/>
      <c r="F109" s="8"/>
      <c r="G109" s="8"/>
    </row>
    <row r="110" spans="1:7" ht="15">
      <c r="A110" s="8"/>
      <c r="B110" s="8"/>
      <c r="C110" s="9"/>
      <c r="D110" s="8"/>
      <c r="E110" s="90"/>
      <c r="F110" s="8"/>
      <c r="G110" s="8"/>
    </row>
    <row r="111" spans="1:7" ht="15">
      <c r="A111" s="8"/>
      <c r="B111" s="8"/>
      <c r="C111" s="9"/>
      <c r="D111" s="8"/>
      <c r="E111" s="90"/>
      <c r="F111" s="8"/>
      <c r="G111" s="8"/>
    </row>
    <row r="112" spans="1:7" ht="15">
      <c r="A112" s="8"/>
      <c r="B112" s="8"/>
      <c r="C112" s="9"/>
      <c r="D112" s="8"/>
      <c r="E112" s="90"/>
      <c r="F112" s="8"/>
      <c r="G112" s="8"/>
    </row>
    <row r="113" spans="1:7" ht="15">
      <c r="A113" s="8"/>
      <c r="B113" s="8"/>
      <c r="C113" s="9"/>
      <c r="D113" s="8"/>
      <c r="E113" s="90"/>
      <c r="F113" s="8"/>
      <c r="G113" s="8"/>
    </row>
    <row r="114" spans="1:7" ht="15">
      <c r="A114" s="8"/>
      <c r="B114" s="8"/>
      <c r="C114" s="9"/>
      <c r="D114" s="8"/>
      <c r="E114" s="90"/>
      <c r="F114" s="8"/>
      <c r="G114" s="8"/>
    </row>
    <row r="115" spans="1:7" ht="15">
      <c r="A115" s="8"/>
      <c r="B115" s="8"/>
      <c r="C115" s="9"/>
      <c r="D115" s="8"/>
      <c r="E115" s="90"/>
      <c r="F115" s="8"/>
      <c r="G115" s="8"/>
    </row>
    <row r="116" spans="1:7" ht="15">
      <c r="A116" s="8"/>
      <c r="B116" s="8"/>
      <c r="C116" s="9"/>
      <c r="D116" s="8"/>
      <c r="E116" s="90"/>
      <c r="F116" s="8"/>
      <c r="G116" s="8"/>
    </row>
    <row r="117" spans="1:7" ht="15">
      <c r="A117" s="8"/>
      <c r="B117" s="8"/>
      <c r="C117" s="9"/>
      <c r="D117" s="8"/>
      <c r="E117" s="90"/>
      <c r="F117" s="8"/>
      <c r="G117" s="8"/>
    </row>
    <row r="118" spans="1:7" ht="15">
      <c r="A118" s="8"/>
      <c r="B118" s="8"/>
      <c r="C118" s="9"/>
      <c r="D118" s="8"/>
      <c r="E118" s="90"/>
      <c r="F118" s="8"/>
      <c r="G118" s="8"/>
    </row>
    <row r="119" spans="1:7" ht="15">
      <c r="A119" s="8"/>
      <c r="B119" s="8"/>
      <c r="C119" s="9"/>
      <c r="D119" s="8"/>
      <c r="E119" s="90"/>
      <c r="F119" s="8"/>
      <c r="G119" s="8"/>
    </row>
    <row r="120" spans="1:7" ht="15">
      <c r="A120" s="8"/>
      <c r="B120" s="8"/>
      <c r="C120" s="9"/>
      <c r="D120" s="8"/>
      <c r="E120" s="90"/>
      <c r="F120" s="8"/>
      <c r="G120" s="8"/>
    </row>
    <row r="121" spans="1:7" ht="15">
      <c r="A121" s="8"/>
      <c r="B121" s="8"/>
      <c r="C121" s="9"/>
      <c r="D121" s="8"/>
      <c r="E121" s="90"/>
      <c r="F121" s="8"/>
      <c r="G121" s="8"/>
    </row>
    <row r="122" spans="1:7" ht="15">
      <c r="A122" s="8"/>
      <c r="B122" s="8"/>
      <c r="C122" s="9"/>
      <c r="D122" s="8"/>
      <c r="E122" s="90"/>
      <c r="F122" s="8"/>
      <c r="G122" s="8"/>
    </row>
    <row r="123" spans="1:7" ht="15">
      <c r="A123" s="8"/>
      <c r="B123" s="8"/>
      <c r="C123" s="9"/>
      <c r="D123" s="8"/>
      <c r="E123" s="90"/>
      <c r="F123" s="8"/>
      <c r="G123" s="8"/>
    </row>
    <row r="124" spans="1:7" ht="15">
      <c r="A124" s="8"/>
      <c r="B124" s="8"/>
      <c r="C124" s="9"/>
      <c r="D124" s="8"/>
      <c r="E124" s="90"/>
      <c r="F124" s="8"/>
      <c r="G124" s="8"/>
    </row>
    <row r="125" spans="1:7" ht="15">
      <c r="A125" s="8"/>
      <c r="B125" s="8"/>
      <c r="C125" s="9"/>
      <c r="D125" s="8"/>
      <c r="E125" s="90"/>
      <c r="F125" s="8"/>
      <c r="G125" s="8"/>
    </row>
    <row r="126" spans="1:7" ht="15">
      <c r="A126" s="8"/>
      <c r="B126" s="8"/>
      <c r="C126" s="9"/>
      <c r="D126" s="8"/>
      <c r="E126" s="90"/>
      <c r="F126" s="8"/>
      <c r="G126" s="8"/>
    </row>
    <row r="127" spans="1:7" ht="15">
      <c r="A127" s="8"/>
      <c r="B127" s="8"/>
      <c r="C127" s="9"/>
      <c r="D127" s="8"/>
      <c r="E127" s="90"/>
      <c r="F127" s="8"/>
      <c r="G127" s="8"/>
    </row>
    <row r="128" spans="1:7" ht="15">
      <c r="A128" s="8"/>
      <c r="B128" s="8"/>
      <c r="C128" s="9"/>
      <c r="D128" s="8"/>
      <c r="E128" s="90"/>
      <c r="F128" s="8"/>
      <c r="G128" s="8"/>
    </row>
    <row r="129" spans="1:7" ht="15">
      <c r="A129" s="8"/>
      <c r="B129" s="8"/>
      <c r="C129" s="9"/>
      <c r="D129" s="8"/>
      <c r="E129" s="90"/>
      <c r="F129" s="8"/>
      <c r="G129" s="8"/>
    </row>
    <row r="130" spans="1:7" ht="15">
      <c r="A130" s="8"/>
      <c r="B130" s="8"/>
      <c r="C130" s="9"/>
      <c r="D130" s="8"/>
      <c r="E130" s="90"/>
      <c r="F130" s="8"/>
      <c r="G130" s="8"/>
    </row>
    <row r="131" spans="1:7" ht="15">
      <c r="A131" s="8"/>
      <c r="B131" s="8"/>
      <c r="C131" s="9"/>
      <c r="D131" s="8"/>
      <c r="E131" s="90"/>
      <c r="F131" s="8"/>
      <c r="G131" s="8"/>
    </row>
    <row r="132" spans="1:7" ht="15">
      <c r="A132" s="8"/>
      <c r="B132" s="8"/>
      <c r="C132" s="9"/>
      <c r="D132" s="8"/>
      <c r="E132" s="90"/>
      <c r="F132" s="8"/>
      <c r="G132" s="8"/>
    </row>
    <row r="133" spans="1:7" ht="15">
      <c r="A133" s="8"/>
      <c r="B133" s="8"/>
      <c r="C133" s="9"/>
      <c r="D133" s="8"/>
      <c r="E133" s="90"/>
      <c r="F133" s="8"/>
      <c r="G133" s="8"/>
    </row>
    <row r="134" spans="1:7" ht="15">
      <c r="A134" s="8"/>
      <c r="B134" s="8"/>
      <c r="C134" s="9"/>
      <c r="D134" s="8"/>
      <c r="E134" s="90"/>
      <c r="F134" s="8"/>
      <c r="G134" s="8"/>
    </row>
    <row r="135" spans="1:7" ht="15">
      <c r="A135" s="8"/>
      <c r="B135" s="8"/>
      <c r="C135" s="9"/>
      <c r="D135" s="8"/>
      <c r="E135" s="90"/>
      <c r="F135" s="8"/>
      <c r="G135" s="8"/>
    </row>
    <row r="136" spans="1:7" ht="15">
      <c r="A136" s="8"/>
      <c r="B136" s="8"/>
      <c r="C136" s="9"/>
      <c r="D136" s="8"/>
      <c r="E136" s="90"/>
      <c r="F136" s="8"/>
      <c r="G136" s="8"/>
    </row>
    <row r="137" spans="1:7" ht="15">
      <c r="A137" s="8"/>
      <c r="B137" s="8"/>
      <c r="C137" s="9"/>
      <c r="D137" s="8"/>
      <c r="E137" s="90"/>
      <c r="F137" s="8"/>
      <c r="G137" s="8"/>
    </row>
    <row r="138" spans="1:7" ht="15">
      <c r="A138" s="8"/>
      <c r="B138" s="8"/>
      <c r="C138" s="9"/>
      <c r="D138" s="8"/>
      <c r="E138" s="90"/>
      <c r="F138" s="8"/>
      <c r="G138" s="8"/>
    </row>
    <row r="139" spans="1:7" ht="15">
      <c r="A139" s="8"/>
      <c r="B139" s="8"/>
      <c r="C139" s="9"/>
      <c r="D139" s="8"/>
      <c r="E139" s="90"/>
      <c r="F139" s="8"/>
      <c r="G139" s="8"/>
    </row>
    <row r="140" spans="1:7" ht="15">
      <c r="A140" s="8"/>
      <c r="B140" s="8"/>
      <c r="C140" s="9"/>
      <c r="D140" s="8"/>
      <c r="E140" s="90"/>
      <c r="F140" s="8"/>
      <c r="G140" s="8"/>
    </row>
    <row r="141" spans="1:7" ht="15">
      <c r="A141" s="8"/>
      <c r="B141" s="8"/>
      <c r="C141" s="9"/>
      <c r="D141" s="8"/>
      <c r="E141" s="90"/>
      <c r="F141" s="8"/>
      <c r="G141" s="8"/>
    </row>
    <row r="142" spans="1:7" ht="15">
      <c r="A142" s="8"/>
      <c r="B142" s="8"/>
      <c r="C142" s="9"/>
      <c r="D142" s="8"/>
      <c r="E142" s="90"/>
      <c r="F142" s="8"/>
      <c r="G142" s="8"/>
    </row>
    <row r="143" spans="1:7" ht="15">
      <c r="A143" s="8"/>
      <c r="B143" s="8"/>
      <c r="C143" s="9"/>
      <c r="D143" s="8"/>
      <c r="E143" s="90"/>
      <c r="F143" s="8"/>
      <c r="G143" s="8"/>
    </row>
    <row r="144" spans="1:7" ht="15">
      <c r="A144" s="8"/>
      <c r="B144" s="8"/>
      <c r="C144" s="9"/>
      <c r="D144" s="8"/>
      <c r="E144" s="90"/>
      <c r="F144" s="8"/>
      <c r="G144" s="8"/>
    </row>
    <row r="145" spans="1:7" ht="15">
      <c r="A145" s="8"/>
      <c r="B145" s="8"/>
      <c r="C145" s="9"/>
      <c r="D145" s="8"/>
      <c r="E145" s="90"/>
      <c r="F145" s="8"/>
      <c r="G145" s="8"/>
    </row>
    <row r="146" spans="1:7" ht="15">
      <c r="A146" s="8"/>
      <c r="B146" s="8"/>
      <c r="C146" s="9"/>
      <c r="D146" s="8"/>
      <c r="E146" s="90"/>
      <c r="F146" s="8"/>
      <c r="G146" s="8"/>
    </row>
    <row r="147" spans="1:7" ht="15">
      <c r="A147" s="8"/>
      <c r="B147" s="8"/>
      <c r="C147" s="9"/>
      <c r="D147" s="8"/>
      <c r="E147" s="90"/>
      <c r="F147" s="8"/>
      <c r="G147" s="8"/>
    </row>
    <row r="148" spans="1:7" ht="15">
      <c r="A148" s="8"/>
      <c r="B148" s="8"/>
      <c r="C148" s="9"/>
      <c r="D148" s="8"/>
      <c r="E148" s="90"/>
      <c r="F148" s="8"/>
      <c r="G148" s="8"/>
    </row>
    <row r="149" spans="1:7" ht="15">
      <c r="A149" s="8"/>
      <c r="B149" s="8"/>
      <c r="C149" s="9"/>
      <c r="D149" s="8"/>
      <c r="E149" s="90"/>
      <c r="F149" s="8"/>
      <c r="G149" s="8"/>
    </row>
    <row r="150" spans="1:7" ht="15">
      <c r="A150" s="8"/>
      <c r="B150" s="8"/>
      <c r="C150" s="9"/>
      <c r="D150" s="8"/>
      <c r="E150" s="90"/>
      <c r="F150" s="8"/>
      <c r="G150" s="8"/>
    </row>
    <row r="151" spans="1:7" ht="15">
      <c r="A151" s="8"/>
      <c r="B151" s="8"/>
      <c r="C151" s="9"/>
      <c r="D151" s="8"/>
      <c r="E151" s="90"/>
      <c r="F151" s="8"/>
      <c r="G151" s="8"/>
    </row>
    <row r="152" spans="1:7" ht="15">
      <c r="A152" s="8"/>
      <c r="B152" s="8"/>
      <c r="C152" s="9"/>
      <c r="D152" s="8"/>
      <c r="E152" s="90"/>
      <c r="F152" s="8"/>
      <c r="G152" s="8"/>
    </row>
  </sheetData>
  <sheetProtection/>
  <mergeCells count="17">
    <mergeCell ref="B5:B6"/>
    <mergeCell ref="C5:C6"/>
    <mergeCell ref="D5:D6"/>
    <mergeCell ref="B85:C85"/>
    <mergeCell ref="B1:D1"/>
    <mergeCell ref="B3:G3"/>
    <mergeCell ref="E5:G5"/>
    <mergeCell ref="H4:J4"/>
    <mergeCell ref="L10:M10"/>
    <mergeCell ref="A12:A16"/>
    <mergeCell ref="A22:A28"/>
    <mergeCell ref="L19:M19"/>
    <mergeCell ref="A42:A48"/>
    <mergeCell ref="A29:A30"/>
    <mergeCell ref="H5:J5"/>
    <mergeCell ref="A36:A41"/>
    <mergeCell ref="A5:A6"/>
  </mergeCells>
  <printOptions gridLines="1"/>
  <pageMargins left="0.78" right="0" top="0.74" bottom="0.19" header="0.17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O53"/>
  <sheetViews>
    <sheetView zoomScalePageLayoutView="0" workbookViewId="0" topLeftCell="A1">
      <pane xSplit="2" ySplit="8" topLeftCell="C9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9.140625" defaultRowHeight="12.75"/>
  <cols>
    <col min="1" max="1" width="4.7109375" style="36" customWidth="1"/>
    <col min="2" max="2" width="44.8515625" style="1" customWidth="1"/>
    <col min="3" max="3" width="13.421875" style="1" customWidth="1"/>
    <col min="4" max="4" width="5.8515625" style="1" bestFit="1" customWidth="1"/>
    <col min="5" max="5" width="7.57421875" style="1" bestFit="1" customWidth="1"/>
    <col min="6" max="6" width="9.57421875" style="1" bestFit="1" customWidth="1"/>
    <col min="7" max="7" width="12.00390625" style="1" bestFit="1" customWidth="1"/>
    <col min="8" max="8" width="12.00390625" style="1" customWidth="1"/>
    <col min="9" max="9" width="13.8515625" style="1" customWidth="1"/>
    <col min="10" max="10" width="6.8515625" style="1" customWidth="1"/>
    <col min="11" max="11" width="22.7109375" style="1" customWidth="1"/>
    <col min="12" max="12" width="9.140625" style="1" customWidth="1"/>
    <col min="13" max="13" width="14.7109375" style="1" customWidth="1"/>
    <col min="14" max="14" width="24.00390625" style="1" bestFit="1" customWidth="1"/>
    <col min="15" max="16384" width="9.140625" style="1" customWidth="1"/>
  </cols>
  <sheetData>
    <row r="2" spans="1:11" ht="15" customHeight="1">
      <c r="A2" s="10"/>
      <c r="B2" s="1188" t="s">
        <v>1499</v>
      </c>
      <c r="C2" s="1188"/>
      <c r="D2" s="1188"/>
      <c r="E2" s="8"/>
      <c r="F2" s="8"/>
      <c r="G2" s="440"/>
      <c r="H2" s="51"/>
      <c r="I2" s="51"/>
      <c r="J2" s="51"/>
      <c r="K2" s="51"/>
    </row>
    <row r="3" spans="1:13" ht="13.5" customHeight="1">
      <c r="A3" s="10"/>
      <c r="B3" s="96"/>
      <c r="C3" s="96"/>
      <c r="D3" s="8"/>
      <c r="E3" s="8"/>
      <c r="G3" s="1088" t="s">
        <v>551</v>
      </c>
      <c r="H3" s="51"/>
      <c r="I3" s="51"/>
      <c r="J3" s="51"/>
      <c r="K3" s="51"/>
      <c r="L3" s="1189"/>
      <c r="M3" s="1189"/>
    </row>
    <row r="4" spans="1:11" ht="16.5">
      <c r="A4" s="1190" t="s">
        <v>1500</v>
      </c>
      <c r="B4" s="1190"/>
      <c r="C4" s="1190"/>
      <c r="D4" s="1190"/>
      <c r="E4" s="1190"/>
      <c r="F4" s="1190"/>
      <c r="G4" s="1190"/>
      <c r="H4" s="51"/>
      <c r="I4" s="51"/>
      <c r="J4" s="51"/>
      <c r="K4" s="51"/>
    </row>
    <row r="5" spans="1:11" ht="15">
      <c r="A5" s="441"/>
      <c r="B5" s="441"/>
      <c r="C5" s="442"/>
      <c r="D5" s="441"/>
      <c r="E5" s="443"/>
      <c r="F5" s="441"/>
      <c r="G5" s="441"/>
      <c r="H5" s="51"/>
      <c r="I5" s="51"/>
      <c r="J5" s="51"/>
      <c r="K5" s="51"/>
    </row>
    <row r="6" spans="1:11" ht="33" customHeight="1">
      <c r="A6" s="1191" t="s">
        <v>1335</v>
      </c>
      <c r="B6" s="1192" t="s">
        <v>449</v>
      </c>
      <c r="C6" s="1193" t="s">
        <v>53</v>
      </c>
      <c r="D6" s="1195" t="s">
        <v>450</v>
      </c>
      <c r="E6" s="1192" t="s">
        <v>1501</v>
      </c>
      <c r="F6" s="1196"/>
      <c r="G6" s="1195"/>
      <c r="H6" s="51"/>
      <c r="I6" s="51"/>
      <c r="J6" s="51"/>
      <c r="K6" s="51"/>
    </row>
    <row r="7" spans="1:11" ht="19.5" customHeight="1">
      <c r="A7" s="1191"/>
      <c r="B7" s="1192"/>
      <c r="C7" s="1194"/>
      <c r="D7" s="1195"/>
      <c r="E7" s="445" t="s">
        <v>451</v>
      </c>
      <c r="F7" s="445" t="s">
        <v>799</v>
      </c>
      <c r="G7" s="445" t="s">
        <v>7</v>
      </c>
      <c r="H7" s="51"/>
      <c r="I7" s="51"/>
      <c r="J7" s="51"/>
      <c r="K7" s="51"/>
    </row>
    <row r="8" spans="1:14" ht="15">
      <c r="A8" s="446">
        <v>1</v>
      </c>
      <c r="B8" s="446">
        <v>2</v>
      </c>
      <c r="C8" s="446">
        <v>3</v>
      </c>
      <c r="D8" s="446">
        <v>4</v>
      </c>
      <c r="E8" s="446">
        <v>5</v>
      </c>
      <c r="F8" s="446">
        <v>6</v>
      </c>
      <c r="G8" s="447">
        <v>7</v>
      </c>
      <c r="H8" s="51"/>
      <c r="I8" s="51"/>
      <c r="J8" s="51"/>
      <c r="K8" s="448"/>
      <c r="M8" s="63"/>
      <c r="N8" s="63"/>
    </row>
    <row r="9" spans="1:15" ht="33" customHeight="1">
      <c r="A9" s="449">
        <v>1</v>
      </c>
      <c r="B9" s="450" t="s">
        <v>1502</v>
      </c>
      <c r="C9" s="451">
        <v>7130601965</v>
      </c>
      <c r="D9" s="452" t="s">
        <v>458</v>
      </c>
      <c r="E9" s="453">
        <v>408.1</v>
      </c>
      <c r="F9" s="453">
        <f>VLOOKUP(C9,'SOR RATE'!A:D,4,0)/1000</f>
        <v>44.989</v>
      </c>
      <c r="G9" s="453">
        <f>F9*E9</f>
        <v>18360.0109</v>
      </c>
      <c r="J9" s="51"/>
      <c r="K9" s="507"/>
      <c r="L9" s="507"/>
      <c r="M9" s="51"/>
      <c r="N9" s="51"/>
      <c r="O9" s="51"/>
    </row>
    <row r="10" spans="1:15" ht="31.5" customHeight="1">
      <c r="A10" s="449">
        <v>2</v>
      </c>
      <c r="B10" s="454" t="s">
        <v>1367</v>
      </c>
      <c r="C10" s="451">
        <v>7130810495</v>
      </c>
      <c r="D10" s="452" t="s">
        <v>452</v>
      </c>
      <c r="E10" s="452">
        <v>1</v>
      </c>
      <c r="F10" s="453">
        <f>VLOOKUP(C10,'SOR RATE'!A:D,4,0)</f>
        <v>1048</v>
      </c>
      <c r="G10" s="453">
        <f aca="true" t="shared" si="0" ref="G10:G15">F10*E10</f>
        <v>1048</v>
      </c>
      <c r="H10" s="51"/>
      <c r="I10" s="51"/>
      <c r="J10" s="63"/>
      <c r="K10" s="63"/>
      <c r="L10" s="63"/>
      <c r="M10" s="63"/>
      <c r="N10" s="63"/>
      <c r="O10" s="63"/>
    </row>
    <row r="11" spans="1:15" ht="18" customHeight="1">
      <c r="A11" s="1181">
        <v>3</v>
      </c>
      <c r="B11" s="189" t="s">
        <v>1063</v>
      </c>
      <c r="C11" s="456"/>
      <c r="D11" s="457"/>
      <c r="E11" s="457"/>
      <c r="F11" s="457"/>
      <c r="G11" s="458"/>
      <c r="H11" s="51"/>
      <c r="I11" s="51"/>
      <c r="J11" s="51"/>
      <c r="K11" s="51"/>
      <c r="L11" s="51"/>
      <c r="M11" s="51"/>
      <c r="N11" s="51"/>
      <c r="O11" s="51"/>
    </row>
    <row r="12" spans="1:15" ht="17.25" customHeight="1">
      <c r="A12" s="1182"/>
      <c r="B12" s="459" t="s">
        <v>1188</v>
      </c>
      <c r="C12" s="460">
        <v>7130810692</v>
      </c>
      <c r="D12" s="461" t="s">
        <v>452</v>
      </c>
      <c r="E12" s="452">
        <v>1</v>
      </c>
      <c r="F12" s="453">
        <f>VLOOKUP(C12,'SOR RATE'!A:D,4,0)</f>
        <v>294</v>
      </c>
      <c r="G12" s="453">
        <f>F12*E12</f>
        <v>294</v>
      </c>
      <c r="H12" s="51"/>
      <c r="I12" s="51"/>
      <c r="J12" s="51"/>
      <c r="K12" s="51"/>
      <c r="L12" s="51"/>
      <c r="M12" s="51"/>
      <c r="N12" s="51"/>
      <c r="O12" s="51"/>
    </row>
    <row r="13" spans="1:15" ht="18.75" customHeight="1">
      <c r="A13" s="449">
        <v>4</v>
      </c>
      <c r="B13" s="462" t="s">
        <v>1503</v>
      </c>
      <c r="C13" s="451">
        <v>7130810679</v>
      </c>
      <c r="D13" s="452" t="s">
        <v>452</v>
      </c>
      <c r="E13" s="452">
        <v>1</v>
      </c>
      <c r="F13" s="453">
        <f>VLOOKUP(C13,'SOR RATE'!A:D,4,0)</f>
        <v>294</v>
      </c>
      <c r="G13" s="453">
        <f t="shared" si="0"/>
        <v>294</v>
      </c>
      <c r="H13" s="51"/>
      <c r="I13" s="51"/>
      <c r="J13" s="51"/>
      <c r="K13" s="51"/>
      <c r="L13" s="51"/>
      <c r="M13" s="51"/>
      <c r="N13" s="51"/>
      <c r="O13" s="51"/>
    </row>
    <row r="14" spans="1:15" ht="33" customHeight="1">
      <c r="A14" s="452">
        <v>5</v>
      </c>
      <c r="B14" s="454" t="s">
        <v>1363</v>
      </c>
      <c r="C14" s="451">
        <v>7130870013</v>
      </c>
      <c r="D14" s="452" t="s">
        <v>452</v>
      </c>
      <c r="E14" s="452">
        <v>1</v>
      </c>
      <c r="F14" s="453">
        <f>VLOOKUP(C14,'SOR RATE'!A:D,4,0)</f>
        <v>100</v>
      </c>
      <c r="G14" s="453">
        <f t="shared" si="0"/>
        <v>100</v>
      </c>
      <c r="H14" s="51"/>
      <c r="I14" s="51"/>
      <c r="J14" s="51"/>
      <c r="K14" s="51"/>
      <c r="L14" s="51"/>
      <c r="M14" s="51"/>
      <c r="N14" s="51"/>
      <c r="O14" s="463"/>
    </row>
    <row r="15" spans="1:15" ht="18" customHeight="1">
      <c r="A15" s="449">
        <v>6</v>
      </c>
      <c r="B15" s="462" t="s">
        <v>1545</v>
      </c>
      <c r="C15" s="451">
        <v>7130820008</v>
      </c>
      <c r="D15" s="452" t="s">
        <v>452</v>
      </c>
      <c r="E15" s="452">
        <v>3</v>
      </c>
      <c r="F15" s="453">
        <f>VLOOKUP(C15,'SOR RATE'!A:D,4,0)</f>
        <v>157</v>
      </c>
      <c r="G15" s="453">
        <f t="shared" si="0"/>
        <v>471</v>
      </c>
      <c r="H15" s="51"/>
      <c r="I15" s="51"/>
      <c r="J15" s="51"/>
      <c r="K15" s="1066" t="s">
        <v>383</v>
      </c>
      <c r="L15" s="51"/>
      <c r="M15" s="51"/>
      <c r="N15" s="51"/>
      <c r="O15" s="51"/>
    </row>
    <row r="16" spans="1:15" ht="47.25" customHeight="1">
      <c r="A16" s="1183">
        <v>7</v>
      </c>
      <c r="B16" s="454" t="s">
        <v>1159</v>
      </c>
      <c r="C16" s="451"/>
      <c r="D16" s="464" t="s">
        <v>1160</v>
      </c>
      <c r="E16" s="444">
        <v>0.65</v>
      </c>
      <c r="F16" s="453"/>
      <c r="G16" s="453"/>
      <c r="H16" s="51"/>
      <c r="I16" s="49"/>
      <c r="J16" s="49"/>
      <c r="K16" s="50"/>
      <c r="L16" s="465"/>
      <c r="M16" s="49"/>
      <c r="N16" s="50"/>
      <c r="O16" s="465"/>
    </row>
    <row r="17" spans="1:14" ht="15.75" customHeight="1">
      <c r="A17" s="1184"/>
      <c r="B17" s="462" t="s">
        <v>1505</v>
      </c>
      <c r="C17" s="451">
        <v>7130200401</v>
      </c>
      <c r="D17" s="452" t="s">
        <v>458</v>
      </c>
      <c r="E17" s="452">
        <f>208*0.65</f>
        <v>135.20000000000002</v>
      </c>
      <c r="F17" s="453">
        <f>VLOOKUP(C17,'SOR RATE'!A:D,4,0)/50</f>
        <v>5.36</v>
      </c>
      <c r="G17" s="453">
        <f>F17*E17</f>
        <v>724.6720000000001</v>
      </c>
      <c r="H17" s="51"/>
      <c r="I17" s="51"/>
      <c r="J17" s="51"/>
      <c r="K17" s="51"/>
      <c r="M17" s="51"/>
      <c r="N17" s="51"/>
    </row>
    <row r="18" spans="1:12" ht="17.25" customHeight="1">
      <c r="A18" s="449">
        <v>8</v>
      </c>
      <c r="B18" s="139" t="s">
        <v>308</v>
      </c>
      <c r="C18" s="140">
        <v>7130610206</v>
      </c>
      <c r="D18" s="136" t="s">
        <v>458</v>
      </c>
      <c r="E18" s="452">
        <v>1</v>
      </c>
      <c r="F18" s="453">
        <f>VLOOKUP(C18,'SOR RATE'!A:D,4,0)/1000</f>
        <v>66.528</v>
      </c>
      <c r="G18" s="453">
        <f>F18*E18</f>
        <v>66.528</v>
      </c>
      <c r="H18" s="106"/>
      <c r="K18" s="52"/>
      <c r="L18" s="52"/>
    </row>
    <row r="19" spans="1:11" ht="17.25" customHeight="1">
      <c r="A19" s="449">
        <v>9</v>
      </c>
      <c r="B19" s="462" t="s">
        <v>292</v>
      </c>
      <c r="C19" s="451">
        <v>7130880041</v>
      </c>
      <c r="D19" s="452" t="s">
        <v>1553</v>
      </c>
      <c r="E19" s="452">
        <v>1</v>
      </c>
      <c r="F19" s="453">
        <f>VLOOKUP(C19,'SOR RATE'!A:D,4,0)</f>
        <v>74</v>
      </c>
      <c r="G19" s="453">
        <f>F19*E19</f>
        <v>74</v>
      </c>
      <c r="H19" s="51"/>
      <c r="I19" s="51"/>
      <c r="J19" s="51"/>
      <c r="K19" s="51"/>
    </row>
    <row r="20" spans="1:10" ht="14.25">
      <c r="A20" s="1185">
        <v>10</v>
      </c>
      <c r="B20" s="467" t="s">
        <v>310</v>
      </c>
      <c r="C20" s="456"/>
      <c r="D20" s="457"/>
      <c r="E20" s="457"/>
      <c r="F20" s="457"/>
      <c r="G20" s="458"/>
      <c r="H20" s="51"/>
      <c r="I20" s="51"/>
      <c r="J20" s="51"/>
    </row>
    <row r="21" spans="1:11" ht="15" customHeight="1">
      <c r="A21" s="1186"/>
      <c r="B21" s="468" t="s">
        <v>438</v>
      </c>
      <c r="C21" s="451">
        <v>7130620609</v>
      </c>
      <c r="D21" s="461" t="s">
        <v>458</v>
      </c>
      <c r="E21" s="452">
        <f>0.5/2</f>
        <v>0.25</v>
      </c>
      <c r="F21" s="453">
        <f>VLOOKUP(C21,'SOR RATE'!A:D,4,0)</f>
        <v>64</v>
      </c>
      <c r="G21" s="453">
        <f>F21*E21</f>
        <v>16</v>
      </c>
      <c r="H21" s="51"/>
      <c r="I21" s="51"/>
      <c r="J21" s="51"/>
      <c r="K21" s="51"/>
    </row>
    <row r="22" spans="1:11" ht="18" customHeight="1">
      <c r="A22" s="1186"/>
      <c r="B22" s="468" t="s">
        <v>1336</v>
      </c>
      <c r="C22" s="451">
        <v>7130620614</v>
      </c>
      <c r="D22" s="461" t="s">
        <v>458</v>
      </c>
      <c r="E22" s="452">
        <f>6/10</f>
        <v>0.6</v>
      </c>
      <c r="F22" s="453">
        <f>VLOOKUP(C22,'SOR RATE'!A:D,4,0)</f>
        <v>63</v>
      </c>
      <c r="G22" s="453">
        <f>F22*E22</f>
        <v>37.8</v>
      </c>
      <c r="H22" s="51"/>
      <c r="I22" s="51"/>
      <c r="J22" s="51"/>
      <c r="K22" s="51"/>
    </row>
    <row r="23" spans="1:11" ht="18" customHeight="1">
      <c r="A23" s="1187"/>
      <c r="B23" s="468" t="s">
        <v>1338</v>
      </c>
      <c r="C23" s="451">
        <v>7130620625</v>
      </c>
      <c r="D23" s="461" t="s">
        <v>458</v>
      </c>
      <c r="E23" s="452">
        <f>5.5/10</f>
        <v>0.55</v>
      </c>
      <c r="F23" s="453">
        <f>VLOOKUP(C23,'SOR RATE'!A:D,4,0)</f>
        <v>62</v>
      </c>
      <c r="G23" s="453">
        <f>F23*E23</f>
        <v>34.1</v>
      </c>
      <c r="H23" s="51"/>
      <c r="I23" s="51"/>
      <c r="J23" s="51"/>
      <c r="K23" s="51"/>
    </row>
    <row r="24" spans="1:11" ht="15">
      <c r="A24" s="469">
        <v>11</v>
      </c>
      <c r="B24" s="147" t="s">
        <v>1576</v>
      </c>
      <c r="C24" s="470"/>
      <c r="D24" s="445"/>
      <c r="E24" s="445"/>
      <c r="F24" s="445"/>
      <c r="G24" s="471">
        <f>SUM(G9:G23)</f>
        <v>21520.110899999996</v>
      </c>
      <c r="H24" s="103"/>
      <c r="I24" s="1110"/>
      <c r="J24" s="51"/>
      <c r="K24" s="51"/>
    </row>
    <row r="25" spans="1:11" ht="17.25" customHeight="1">
      <c r="A25" s="455">
        <v>12</v>
      </c>
      <c r="B25" s="139" t="s">
        <v>1575</v>
      </c>
      <c r="C25" s="456"/>
      <c r="D25" s="457"/>
      <c r="E25" s="457"/>
      <c r="F25" s="451">
        <v>0.09</v>
      </c>
      <c r="G25" s="453">
        <f>G24*F25</f>
        <v>1936.8099809999997</v>
      </c>
      <c r="H25" s="103"/>
      <c r="I25" s="1110"/>
      <c r="J25" s="51"/>
      <c r="K25" s="51"/>
    </row>
    <row r="26" spans="1:11" ht="18" customHeight="1">
      <c r="A26" s="464">
        <v>13</v>
      </c>
      <c r="B26" s="459" t="s">
        <v>1372</v>
      </c>
      <c r="C26" s="472"/>
      <c r="D26" s="464" t="s">
        <v>454</v>
      </c>
      <c r="E26" s="464">
        <f>E16</f>
        <v>0.65</v>
      </c>
      <c r="F26" s="473">
        <f>1664*1.27*1.0891*1.086275*1.1112*1.0685</f>
        <v>2968.460981603261</v>
      </c>
      <c r="G26" s="473">
        <f>F26*E26</f>
        <v>1929.4996380421198</v>
      </c>
      <c r="H26" s="51"/>
      <c r="I26" s="51"/>
      <c r="J26" s="51"/>
      <c r="K26" s="474"/>
    </row>
    <row r="27" spans="1:11" ht="32.25" customHeight="1">
      <c r="A27" s="452">
        <v>14</v>
      </c>
      <c r="B27" s="454" t="s">
        <v>1506</v>
      </c>
      <c r="C27" s="475"/>
      <c r="D27" s="467"/>
      <c r="E27" s="476"/>
      <c r="F27" s="467"/>
      <c r="G27" s="453">
        <f>1451.51*1.086275*1.1112*1.0685</f>
        <v>1872.0893645905594</v>
      </c>
      <c r="H27" s="51"/>
      <c r="I27" s="51"/>
      <c r="J27" s="51"/>
      <c r="K27" s="51"/>
    </row>
    <row r="28" spans="1:11" ht="48.75" customHeight="1">
      <c r="A28" s="464">
        <v>15</v>
      </c>
      <c r="B28" s="454" t="s">
        <v>105</v>
      </c>
      <c r="C28" s="477"/>
      <c r="D28" s="478"/>
      <c r="E28" s="479"/>
      <c r="F28" s="480"/>
      <c r="G28" s="473">
        <f>1.1*1.1*4108*0.05*1.2*1.1*1.1797*1.1402*0.9368</f>
        <v>413.38930723149025</v>
      </c>
      <c r="H28" s="51"/>
      <c r="I28" s="51"/>
      <c r="J28" s="51"/>
      <c r="K28" s="51"/>
    </row>
    <row r="29" spans="1:11" ht="15">
      <c r="A29" s="444">
        <v>16</v>
      </c>
      <c r="B29" s="147" t="s">
        <v>1577</v>
      </c>
      <c r="C29" s="477"/>
      <c r="D29" s="478"/>
      <c r="E29" s="479"/>
      <c r="F29" s="480"/>
      <c r="G29" s="481">
        <f>G24+G25+G26+G27+G28</f>
        <v>27671.899190864162</v>
      </c>
      <c r="H29" s="104"/>
      <c r="I29" s="56"/>
      <c r="J29" s="51"/>
      <c r="K29" s="51"/>
    </row>
    <row r="30" spans="1:11" ht="38.25" customHeight="1">
      <c r="A30" s="464">
        <v>17</v>
      </c>
      <c r="B30" s="139" t="s">
        <v>1578</v>
      </c>
      <c r="C30" s="477"/>
      <c r="D30" s="478"/>
      <c r="E30" s="479"/>
      <c r="F30" s="473">
        <v>0.11</v>
      </c>
      <c r="G30" s="473">
        <f>G24*F30</f>
        <v>2367.2121989999996</v>
      </c>
      <c r="H30" s="104"/>
      <c r="I30" s="56"/>
      <c r="J30" s="51"/>
      <c r="K30" s="51"/>
    </row>
    <row r="31" spans="1:11" ht="18.75" customHeight="1">
      <c r="A31" s="464">
        <v>18</v>
      </c>
      <c r="B31" s="454" t="s">
        <v>106</v>
      </c>
      <c r="C31" s="477"/>
      <c r="D31" s="478"/>
      <c r="E31" s="479"/>
      <c r="F31" s="480"/>
      <c r="G31" s="473">
        <f>G29+G30</f>
        <v>30039.111389864163</v>
      </c>
      <c r="H31" s="51"/>
      <c r="I31" s="51"/>
      <c r="J31" s="51"/>
      <c r="K31" s="51"/>
    </row>
    <row r="32" spans="1:11" ht="18.75" customHeight="1">
      <c r="A32" s="482">
        <v>19</v>
      </c>
      <c r="B32" s="483" t="s">
        <v>1491</v>
      </c>
      <c r="C32" s="484"/>
      <c r="D32" s="482"/>
      <c r="E32" s="485"/>
      <c r="F32" s="486"/>
      <c r="G32" s="487">
        <f>ROUND(G31,0)</f>
        <v>30039</v>
      </c>
      <c r="H32" s="51"/>
      <c r="I32" s="51"/>
      <c r="J32" s="51"/>
      <c r="K32" s="51"/>
    </row>
    <row r="33" spans="1:11" ht="15">
      <c r="A33" s="10"/>
      <c r="B33" s="8"/>
      <c r="C33" s="8"/>
      <c r="D33" s="8"/>
      <c r="E33" s="8"/>
      <c r="F33" s="8"/>
      <c r="G33" s="440"/>
      <c r="H33" s="51"/>
      <c r="I33" s="51"/>
      <c r="J33" s="51"/>
      <c r="K33" s="51"/>
    </row>
    <row r="52" spans="1:4" ht="16.5">
      <c r="A52" s="8"/>
      <c r="B52" s="439" t="s">
        <v>381</v>
      </c>
      <c r="C52" s="438"/>
      <c r="D52" s="8"/>
    </row>
    <row r="53" spans="2:4" ht="14.25">
      <c r="B53" s="462" t="s">
        <v>1504</v>
      </c>
      <c r="C53" s="451">
        <v>7130820155</v>
      </c>
      <c r="D53" s="452" t="s">
        <v>452</v>
      </c>
    </row>
  </sheetData>
  <sheetProtection/>
  <mergeCells count="11">
    <mergeCell ref="E6:G6"/>
    <mergeCell ref="A11:A12"/>
    <mergeCell ref="A16:A17"/>
    <mergeCell ref="A20:A23"/>
    <mergeCell ref="B2:D2"/>
    <mergeCell ref="L3:M3"/>
    <mergeCell ref="A4:G4"/>
    <mergeCell ref="A6:A7"/>
    <mergeCell ref="B6:B7"/>
    <mergeCell ref="C6:C7"/>
    <mergeCell ref="D6:D7"/>
  </mergeCells>
  <printOptions/>
  <pageMargins left="0.89" right="0.18" top="0.91" bottom="0.2" header="0.78" footer="0.07"/>
  <pageSetup horizontalDpi="600" verticalDpi="600" orientation="landscape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4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.140625" style="36" customWidth="1"/>
    <col min="2" max="2" width="39.8515625" style="1" customWidth="1"/>
    <col min="3" max="3" width="12.7109375" style="1" customWidth="1"/>
    <col min="4" max="4" width="5.28125" style="1" customWidth="1"/>
    <col min="5" max="5" width="10.7109375" style="1" bestFit="1" customWidth="1"/>
    <col min="6" max="6" width="6.421875" style="1" customWidth="1"/>
    <col min="7" max="7" width="12.00390625" style="1" customWidth="1"/>
    <col min="8" max="8" width="6.7109375" style="1" bestFit="1" customWidth="1"/>
    <col min="9" max="9" width="11.7109375" style="1" customWidth="1"/>
    <col min="10" max="10" width="5.00390625" style="1" bestFit="1" customWidth="1"/>
    <col min="11" max="11" width="12.28125" style="1" customWidth="1"/>
    <col min="12" max="12" width="5.00390625" style="1" bestFit="1" customWidth="1"/>
    <col min="13" max="13" width="12.00390625" style="1" customWidth="1"/>
    <col min="14" max="14" width="7.7109375" style="1" customWidth="1"/>
    <col min="15" max="15" width="23.00390625" style="1" customWidth="1"/>
    <col min="16" max="16" width="6.00390625" style="1" bestFit="1" customWidth="1"/>
    <col min="17" max="17" width="5.00390625" style="1" bestFit="1" customWidth="1"/>
    <col min="18" max="18" width="9.57421875" style="1" bestFit="1" customWidth="1"/>
    <col min="19" max="19" width="11.8515625" style="1" bestFit="1" customWidth="1"/>
    <col min="20" max="16384" width="9.140625" style="1" customWidth="1"/>
  </cols>
  <sheetData>
    <row r="1" spans="3:13" ht="20.25">
      <c r="C1" s="1197" t="s">
        <v>382</v>
      </c>
      <c r="D1" s="1197"/>
      <c r="E1" s="1197"/>
      <c r="F1" s="1197"/>
      <c r="G1" s="1197"/>
      <c r="H1" s="1197"/>
      <c r="I1" s="65"/>
      <c r="J1" s="65"/>
      <c r="K1" s="65"/>
      <c r="L1" s="65"/>
      <c r="M1" s="65"/>
    </row>
    <row r="2" spans="1:14" ht="12" customHeight="1">
      <c r="A2" s="62"/>
      <c r="B2" s="24"/>
      <c r="C2" s="24"/>
      <c r="D2" s="488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31.5" customHeight="1">
      <c r="B3" s="1198" t="s">
        <v>107</v>
      </c>
      <c r="C3" s="1198"/>
      <c r="D3" s="1198"/>
      <c r="E3" s="1198"/>
      <c r="F3" s="1198"/>
      <c r="G3" s="1198"/>
      <c r="H3" s="1198"/>
      <c r="I3" s="1198"/>
      <c r="J3" s="1198"/>
      <c r="K3" s="1198"/>
      <c r="L3" s="489"/>
      <c r="M3" s="489"/>
      <c r="N3" s="24"/>
    </row>
    <row r="4" spans="1:14" ht="10.5" customHeight="1">
      <c r="A4" s="490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24"/>
    </row>
    <row r="5" spans="1:14" ht="15">
      <c r="A5" s="490"/>
      <c r="B5" s="491"/>
      <c r="C5" s="491"/>
      <c r="D5" s="491"/>
      <c r="E5" s="491"/>
      <c r="F5" s="491"/>
      <c r="H5" s="490"/>
      <c r="I5" s="490"/>
      <c r="J5" s="490"/>
      <c r="K5" s="1067" t="s">
        <v>551</v>
      </c>
      <c r="L5" s="490"/>
      <c r="M5" s="490"/>
      <c r="N5" s="24"/>
    </row>
    <row r="6" spans="1:19" ht="33" customHeight="1">
      <c r="A6" s="1199" t="s">
        <v>1335</v>
      </c>
      <c r="B6" s="1202" t="s">
        <v>449</v>
      </c>
      <c r="C6" s="1193" t="s">
        <v>53</v>
      </c>
      <c r="D6" s="1202" t="s">
        <v>450</v>
      </c>
      <c r="E6" s="1206" t="s">
        <v>799</v>
      </c>
      <c r="F6" s="1209" t="s">
        <v>108</v>
      </c>
      <c r="G6" s="1209"/>
      <c r="H6" s="1209"/>
      <c r="I6" s="1209"/>
      <c r="J6" s="1209" t="s">
        <v>109</v>
      </c>
      <c r="K6" s="1209"/>
      <c r="L6" s="1209"/>
      <c r="M6" s="1209"/>
      <c r="N6" s="24"/>
      <c r="O6" s="493"/>
      <c r="P6" s="494"/>
      <c r="Q6" s="495"/>
      <c r="R6" s="496"/>
      <c r="S6" s="496"/>
    </row>
    <row r="7" spans="1:19" ht="61.5" customHeight="1">
      <c r="A7" s="1200"/>
      <c r="B7" s="1203"/>
      <c r="C7" s="1205"/>
      <c r="D7" s="1203"/>
      <c r="E7" s="1207"/>
      <c r="F7" s="1210" t="s">
        <v>110</v>
      </c>
      <c r="G7" s="1210"/>
      <c r="H7" s="1210" t="s">
        <v>111</v>
      </c>
      <c r="I7" s="1210"/>
      <c r="J7" s="1210" t="s">
        <v>110</v>
      </c>
      <c r="K7" s="1210"/>
      <c r="L7" s="1210" t="s">
        <v>111</v>
      </c>
      <c r="M7" s="1210"/>
      <c r="O7" s="1089"/>
      <c r="P7" s="494"/>
      <c r="Q7" s="495"/>
      <c r="R7" s="1089"/>
      <c r="S7" s="496"/>
    </row>
    <row r="8" spans="1:19" ht="19.5" customHeight="1">
      <c r="A8" s="1201"/>
      <c r="B8" s="1204"/>
      <c r="C8" s="1194"/>
      <c r="D8" s="1204"/>
      <c r="E8" s="1208"/>
      <c r="F8" s="497" t="s">
        <v>1315</v>
      </c>
      <c r="G8" s="445" t="s">
        <v>7</v>
      </c>
      <c r="H8" s="497" t="s">
        <v>1315</v>
      </c>
      <c r="I8" s="445" t="s">
        <v>7</v>
      </c>
      <c r="J8" s="497" t="s">
        <v>1315</v>
      </c>
      <c r="K8" s="445" t="s">
        <v>7</v>
      </c>
      <c r="L8" s="497" t="s">
        <v>1315</v>
      </c>
      <c r="M8" s="445" t="s">
        <v>7</v>
      </c>
      <c r="N8" s="24"/>
      <c r="O8" s="493"/>
      <c r="P8" s="494"/>
      <c r="Q8" s="495"/>
      <c r="R8" s="496"/>
      <c r="S8" s="496"/>
    </row>
    <row r="9" spans="1:19" ht="16.5" customHeight="1">
      <c r="A9" s="498">
        <v>1</v>
      </c>
      <c r="B9" s="464">
        <v>2</v>
      </c>
      <c r="C9" s="499">
        <v>3</v>
      </c>
      <c r="D9" s="466">
        <v>4</v>
      </c>
      <c r="E9" s="500">
        <v>5</v>
      </c>
      <c r="F9" s="498">
        <v>6</v>
      </c>
      <c r="G9" s="500">
        <v>7</v>
      </c>
      <c r="H9" s="500">
        <v>8</v>
      </c>
      <c r="I9" s="500">
        <v>9</v>
      </c>
      <c r="J9" s="500">
        <v>10</v>
      </c>
      <c r="K9" s="500">
        <v>11</v>
      </c>
      <c r="L9" s="500">
        <v>12</v>
      </c>
      <c r="M9" s="500">
        <v>13</v>
      </c>
      <c r="N9" s="24"/>
      <c r="P9" s="501"/>
      <c r="Q9" s="502"/>
      <c r="R9" s="503"/>
      <c r="S9" s="503"/>
    </row>
    <row r="10" spans="1:19" ht="45" customHeight="1">
      <c r="A10" s="498">
        <v>1</v>
      </c>
      <c r="B10" s="504" t="s">
        <v>346</v>
      </c>
      <c r="C10" s="505">
        <v>7130601965</v>
      </c>
      <c r="D10" s="498" t="s">
        <v>458</v>
      </c>
      <c r="E10" s="506">
        <f>VLOOKUP(C10,'SOR RATE'!A:D,4,0)/1000</f>
        <v>44.989</v>
      </c>
      <c r="F10" s="498">
        <v>11835</v>
      </c>
      <c r="G10" s="506">
        <f>F10*E10</f>
        <v>532444.815</v>
      </c>
      <c r="H10" s="498">
        <v>11835</v>
      </c>
      <c r="I10" s="506">
        <f>E10*H10</f>
        <v>532444.815</v>
      </c>
      <c r="J10" s="498"/>
      <c r="K10" s="506"/>
      <c r="L10" s="498"/>
      <c r="M10" s="506"/>
      <c r="N10" s="509"/>
      <c r="O10" s="507"/>
      <c r="P10" s="502"/>
      <c r="Q10" s="502"/>
      <c r="R10" s="508"/>
      <c r="S10" s="508"/>
    </row>
    <row r="11" spans="1:19" ht="20.25" customHeight="1">
      <c r="A11" s="498">
        <v>2</v>
      </c>
      <c r="B11" s="258" t="s">
        <v>347</v>
      </c>
      <c r="C11" s="505"/>
      <c r="D11" s="498" t="s">
        <v>803</v>
      </c>
      <c r="E11" s="506">
        <v>2282</v>
      </c>
      <c r="F11" s="222"/>
      <c r="G11" s="222"/>
      <c r="H11" s="222"/>
      <c r="I11" s="506"/>
      <c r="J11" s="498">
        <v>29</v>
      </c>
      <c r="K11" s="506">
        <f>E11*J11</f>
        <v>66178</v>
      </c>
      <c r="L11" s="498">
        <v>29</v>
      </c>
      <c r="M11" s="506">
        <f>E11*L11</f>
        <v>66178</v>
      </c>
      <c r="N11" s="509"/>
      <c r="O11" s="507"/>
      <c r="P11" s="502"/>
      <c r="Q11" s="502"/>
      <c r="R11" s="508"/>
      <c r="S11" s="508"/>
    </row>
    <row r="12" spans="1:19" ht="33" customHeight="1">
      <c r="A12" s="498">
        <v>3</v>
      </c>
      <c r="B12" s="510" t="s">
        <v>348</v>
      </c>
      <c r="C12" s="505">
        <v>7130310057</v>
      </c>
      <c r="D12" s="498" t="s">
        <v>440</v>
      </c>
      <c r="E12" s="506">
        <f>VLOOKUP(C12,'SOR RATE'!A:D,4,0)</f>
        <v>287007</v>
      </c>
      <c r="F12" s="498">
        <v>1.06</v>
      </c>
      <c r="G12" s="506">
        <f>F12*E12</f>
        <v>304227.42000000004</v>
      </c>
      <c r="H12" s="498"/>
      <c r="I12" s="506"/>
      <c r="J12" s="498">
        <v>1.06</v>
      </c>
      <c r="K12" s="506">
        <f>E12*J12</f>
        <v>304227.42000000004</v>
      </c>
      <c r="L12" s="498"/>
      <c r="M12" s="506"/>
      <c r="N12" s="493"/>
      <c r="P12" s="65"/>
      <c r="Q12" s="65"/>
      <c r="R12" s="508"/>
      <c r="S12" s="511"/>
    </row>
    <row r="13" spans="1:19" ht="31.5" customHeight="1">
      <c r="A13" s="498">
        <v>4</v>
      </c>
      <c r="B13" s="510" t="s">
        <v>349</v>
      </c>
      <c r="C13" s="505">
        <v>7130310058</v>
      </c>
      <c r="D13" s="498" t="s">
        <v>440</v>
      </c>
      <c r="E13" s="506">
        <f>VLOOKUP(C13,'SOR RATE'!A:D,4,0)</f>
        <v>406042</v>
      </c>
      <c r="F13" s="498"/>
      <c r="G13" s="506"/>
      <c r="H13" s="498">
        <v>1.06</v>
      </c>
      <c r="I13" s="506">
        <f>E13*H13</f>
        <v>430404.52</v>
      </c>
      <c r="J13" s="498"/>
      <c r="K13" s="506"/>
      <c r="L13" s="498">
        <v>1.06</v>
      </c>
      <c r="M13" s="506">
        <f>E13*L13</f>
        <v>430404.52</v>
      </c>
      <c r="N13" s="493"/>
      <c r="P13" s="65"/>
      <c r="Q13" s="65"/>
      <c r="R13" s="508"/>
      <c r="S13" s="511"/>
    </row>
    <row r="14" spans="1:15" ht="18.75" customHeight="1">
      <c r="A14" s="498">
        <v>5</v>
      </c>
      <c r="B14" s="510" t="s">
        <v>350</v>
      </c>
      <c r="C14" s="505">
        <v>7130320048</v>
      </c>
      <c r="D14" s="498" t="s">
        <v>802</v>
      </c>
      <c r="E14" s="506">
        <f>VLOOKUP(C14,'SOR RATE'!A:D,4,0)</f>
        <v>2396</v>
      </c>
      <c r="F14" s="498">
        <v>9</v>
      </c>
      <c r="G14" s="506">
        <f aca="true" t="shared" si="0" ref="G14:G26">F14*E14</f>
        <v>21564</v>
      </c>
      <c r="H14" s="498">
        <v>9</v>
      </c>
      <c r="I14" s="506">
        <f aca="true" t="shared" si="1" ref="I14:I35">E14*H14</f>
        <v>21564</v>
      </c>
      <c r="J14" s="498">
        <v>9</v>
      </c>
      <c r="K14" s="506">
        <f aca="true" t="shared" si="2" ref="K14:K35">E14*J14</f>
        <v>21564</v>
      </c>
      <c r="L14" s="498">
        <v>9</v>
      </c>
      <c r="M14" s="506">
        <f aca="true" t="shared" si="3" ref="M14:M35">E14*L14</f>
        <v>21564</v>
      </c>
      <c r="N14" s="24"/>
      <c r="O14" s="512"/>
    </row>
    <row r="15" spans="1:14" ht="31.5" customHeight="1">
      <c r="A15" s="498">
        <v>6</v>
      </c>
      <c r="B15" s="513" t="s">
        <v>351</v>
      </c>
      <c r="C15" s="505">
        <v>7130310061</v>
      </c>
      <c r="D15" s="498" t="s">
        <v>802</v>
      </c>
      <c r="E15" s="506">
        <f>VLOOKUP(C15,'SOR RATE'!A:D,4,0)</f>
        <v>3784</v>
      </c>
      <c r="F15" s="498">
        <v>6</v>
      </c>
      <c r="G15" s="506">
        <f t="shared" si="0"/>
        <v>22704</v>
      </c>
      <c r="H15" s="498">
        <v>6</v>
      </c>
      <c r="I15" s="506">
        <f t="shared" si="1"/>
        <v>22704</v>
      </c>
      <c r="J15" s="498">
        <v>6</v>
      </c>
      <c r="K15" s="506">
        <f t="shared" si="2"/>
        <v>22704</v>
      </c>
      <c r="L15" s="498">
        <v>6</v>
      </c>
      <c r="M15" s="506">
        <f t="shared" si="3"/>
        <v>22704</v>
      </c>
      <c r="N15" s="514"/>
    </row>
    <row r="16" spans="1:14" ht="32.25" customHeight="1">
      <c r="A16" s="498">
        <v>7</v>
      </c>
      <c r="B16" s="510" t="s">
        <v>352</v>
      </c>
      <c r="C16" s="135">
        <v>7130877681</v>
      </c>
      <c r="D16" s="500" t="s">
        <v>803</v>
      </c>
      <c r="E16" s="506">
        <f>VLOOKUP(C16,'SOR RATE'!A:D,4,0)</f>
        <v>2270</v>
      </c>
      <c r="F16" s="498">
        <v>16</v>
      </c>
      <c r="G16" s="506">
        <f t="shared" si="0"/>
        <v>36320</v>
      </c>
      <c r="H16" s="498">
        <v>16</v>
      </c>
      <c r="I16" s="506">
        <f t="shared" si="1"/>
        <v>36320</v>
      </c>
      <c r="J16" s="498">
        <v>16</v>
      </c>
      <c r="K16" s="506">
        <f t="shared" si="2"/>
        <v>36320</v>
      </c>
      <c r="L16" s="498">
        <v>16</v>
      </c>
      <c r="M16" s="506">
        <f t="shared" si="3"/>
        <v>36320</v>
      </c>
      <c r="N16" s="61"/>
    </row>
    <row r="17" spans="1:14" ht="31.5" customHeight="1">
      <c r="A17" s="498">
        <v>8</v>
      </c>
      <c r="B17" s="510" t="s">
        <v>353</v>
      </c>
      <c r="C17" s="498">
        <v>7130877683</v>
      </c>
      <c r="D17" s="500" t="s">
        <v>803</v>
      </c>
      <c r="E17" s="506">
        <f>VLOOKUP(C17,'SOR RATE'!A:D,4,0)</f>
        <v>2018</v>
      </c>
      <c r="F17" s="498">
        <v>21</v>
      </c>
      <c r="G17" s="506">
        <f t="shared" si="0"/>
        <v>42378</v>
      </c>
      <c r="H17" s="498">
        <v>21</v>
      </c>
      <c r="I17" s="506">
        <f t="shared" si="1"/>
        <v>42378</v>
      </c>
      <c r="J17" s="498">
        <v>21</v>
      </c>
      <c r="K17" s="506">
        <f t="shared" si="2"/>
        <v>42378</v>
      </c>
      <c r="L17" s="498">
        <v>21</v>
      </c>
      <c r="M17" s="506">
        <f t="shared" si="3"/>
        <v>42378</v>
      </c>
      <c r="N17" s="61"/>
    </row>
    <row r="18" spans="1:14" ht="17.25" customHeight="1">
      <c r="A18" s="498">
        <v>9</v>
      </c>
      <c r="B18" s="515" t="s">
        <v>354</v>
      </c>
      <c r="C18" s="498">
        <v>7130893004</v>
      </c>
      <c r="D18" s="500" t="s">
        <v>803</v>
      </c>
      <c r="E18" s="506">
        <f>VLOOKUP(C18,'SOR RATE'!A:D,4,0)</f>
        <v>161</v>
      </c>
      <c r="F18" s="500">
        <v>40</v>
      </c>
      <c r="G18" s="506">
        <f t="shared" si="0"/>
        <v>6440</v>
      </c>
      <c r="H18" s="500">
        <v>40</v>
      </c>
      <c r="I18" s="506">
        <f t="shared" si="1"/>
        <v>6440</v>
      </c>
      <c r="J18" s="500">
        <v>40</v>
      </c>
      <c r="K18" s="506">
        <f t="shared" si="2"/>
        <v>6440</v>
      </c>
      <c r="L18" s="500">
        <v>40</v>
      </c>
      <c r="M18" s="506">
        <f t="shared" si="3"/>
        <v>6440</v>
      </c>
      <c r="N18" s="514"/>
    </row>
    <row r="19" spans="1:14" ht="18" customHeight="1">
      <c r="A19" s="498">
        <v>10</v>
      </c>
      <c r="B19" s="515" t="s">
        <v>355</v>
      </c>
      <c r="C19" s="498">
        <v>7130860032</v>
      </c>
      <c r="D19" s="500" t="s">
        <v>803</v>
      </c>
      <c r="E19" s="506">
        <f>VLOOKUP(C19,'SOR RATE'!A:D,4,0)</f>
        <v>387</v>
      </c>
      <c r="F19" s="498">
        <v>12</v>
      </c>
      <c r="G19" s="506">
        <f t="shared" si="0"/>
        <v>4644</v>
      </c>
      <c r="H19" s="498">
        <v>12</v>
      </c>
      <c r="I19" s="506">
        <f t="shared" si="1"/>
        <v>4644</v>
      </c>
      <c r="J19" s="498">
        <v>12</v>
      </c>
      <c r="K19" s="506">
        <f t="shared" si="2"/>
        <v>4644</v>
      </c>
      <c r="L19" s="498">
        <v>12</v>
      </c>
      <c r="M19" s="506">
        <f t="shared" si="3"/>
        <v>4644</v>
      </c>
      <c r="N19" s="24"/>
    </row>
    <row r="20" spans="1:14" ht="17.25" customHeight="1">
      <c r="A20" s="498">
        <v>11</v>
      </c>
      <c r="B20" s="510" t="s">
        <v>356</v>
      </c>
      <c r="C20" s="498">
        <v>7130860077</v>
      </c>
      <c r="D20" s="500" t="s">
        <v>458</v>
      </c>
      <c r="E20" s="506">
        <f>VLOOKUP(C20,'SOR RATE'!A:D,4,0)/1000</f>
        <v>61.6</v>
      </c>
      <c r="F20" s="498">
        <v>120</v>
      </c>
      <c r="G20" s="506">
        <f t="shared" si="0"/>
        <v>7392</v>
      </c>
      <c r="H20" s="498">
        <v>120</v>
      </c>
      <c r="I20" s="506">
        <f t="shared" si="1"/>
        <v>7392</v>
      </c>
      <c r="J20" s="498">
        <v>120</v>
      </c>
      <c r="K20" s="506">
        <f t="shared" si="2"/>
        <v>7392</v>
      </c>
      <c r="L20" s="498">
        <v>120</v>
      </c>
      <c r="M20" s="506">
        <f t="shared" si="3"/>
        <v>7392</v>
      </c>
      <c r="N20" s="24"/>
    </row>
    <row r="21" spans="1:14" ht="15.75" customHeight="1">
      <c r="A21" s="498">
        <v>12</v>
      </c>
      <c r="B21" s="510" t="s">
        <v>357</v>
      </c>
      <c r="C21" s="498">
        <v>7130870010</v>
      </c>
      <c r="D21" s="500" t="s">
        <v>803</v>
      </c>
      <c r="E21" s="506">
        <f>VLOOKUP(C21,'SOR RATE'!A:D,4,0)</f>
        <v>681</v>
      </c>
      <c r="F21" s="500">
        <v>29</v>
      </c>
      <c r="G21" s="506">
        <f t="shared" si="0"/>
        <v>19749</v>
      </c>
      <c r="H21" s="500">
        <v>29</v>
      </c>
      <c r="I21" s="506">
        <f t="shared" si="1"/>
        <v>19749</v>
      </c>
      <c r="J21" s="500">
        <v>29</v>
      </c>
      <c r="K21" s="506">
        <f t="shared" si="2"/>
        <v>19749</v>
      </c>
      <c r="L21" s="500">
        <v>29</v>
      </c>
      <c r="M21" s="506">
        <f t="shared" si="3"/>
        <v>19749</v>
      </c>
      <c r="N21" s="24"/>
    </row>
    <row r="22" spans="1:14" ht="15">
      <c r="A22" s="498">
        <v>13</v>
      </c>
      <c r="B22" s="510" t="s">
        <v>358</v>
      </c>
      <c r="C22" s="498">
        <v>7130870045</v>
      </c>
      <c r="D22" s="500" t="s">
        <v>458</v>
      </c>
      <c r="E22" s="506">
        <f>VLOOKUP(C22,'SOR RATE'!A:D,4,0)/1000</f>
        <v>55.094</v>
      </c>
      <c r="F22" s="498">
        <v>24</v>
      </c>
      <c r="G22" s="506">
        <f t="shared" si="0"/>
        <v>1322.256</v>
      </c>
      <c r="H22" s="498">
        <v>24</v>
      </c>
      <c r="I22" s="506">
        <f t="shared" si="1"/>
        <v>1322.256</v>
      </c>
      <c r="J22" s="498">
        <v>24</v>
      </c>
      <c r="K22" s="506">
        <f t="shared" si="2"/>
        <v>1322.256</v>
      </c>
      <c r="L22" s="498">
        <v>24</v>
      </c>
      <c r="M22" s="506">
        <f t="shared" si="3"/>
        <v>1322.256</v>
      </c>
      <c r="N22" s="24"/>
    </row>
    <row r="23" spans="1:16" ht="17.25" customHeight="1">
      <c r="A23" s="498">
        <v>14</v>
      </c>
      <c r="B23" s="139" t="s">
        <v>308</v>
      </c>
      <c r="C23" s="140">
        <v>7130610206</v>
      </c>
      <c r="D23" s="136" t="s">
        <v>458</v>
      </c>
      <c r="E23" s="506">
        <f>VLOOKUP(C23,'SOR RATE'!A:D,4,0)/1000</f>
        <v>66.528</v>
      </c>
      <c r="F23" s="498">
        <v>29</v>
      </c>
      <c r="G23" s="506">
        <f t="shared" si="0"/>
        <v>1929.3120000000001</v>
      </c>
      <c r="H23" s="498">
        <v>29</v>
      </c>
      <c r="I23" s="506">
        <f t="shared" si="1"/>
        <v>1929.3120000000001</v>
      </c>
      <c r="J23" s="498">
        <v>29</v>
      </c>
      <c r="K23" s="506">
        <f t="shared" si="2"/>
        <v>1929.3120000000001</v>
      </c>
      <c r="L23" s="498">
        <v>29</v>
      </c>
      <c r="M23" s="506">
        <f t="shared" si="3"/>
        <v>1929.3120000000001</v>
      </c>
      <c r="N23" s="24"/>
      <c r="O23" s="52"/>
      <c r="P23" s="52"/>
    </row>
    <row r="24" spans="1:15" ht="15">
      <c r="A24" s="498">
        <v>15</v>
      </c>
      <c r="B24" s="510" t="s">
        <v>359</v>
      </c>
      <c r="C24" s="498">
        <v>7130810077</v>
      </c>
      <c r="D24" s="500" t="s">
        <v>803</v>
      </c>
      <c r="E24" s="506">
        <f>VLOOKUP(C24,'SOR RATE'!A:D,4,0)</f>
        <v>394</v>
      </c>
      <c r="F24" s="498">
        <v>37</v>
      </c>
      <c r="G24" s="506">
        <f t="shared" si="0"/>
        <v>14578</v>
      </c>
      <c r="H24" s="498">
        <v>37</v>
      </c>
      <c r="I24" s="506">
        <f t="shared" si="1"/>
        <v>14578</v>
      </c>
      <c r="J24" s="498">
        <v>37</v>
      </c>
      <c r="K24" s="506">
        <f t="shared" si="2"/>
        <v>14578</v>
      </c>
      <c r="L24" s="498">
        <v>37</v>
      </c>
      <c r="M24" s="506">
        <f t="shared" si="3"/>
        <v>14578</v>
      </c>
      <c r="N24" s="24"/>
      <c r="O24" s="502"/>
    </row>
    <row r="25" spans="1:15" ht="18" customHeight="1">
      <c r="A25" s="498">
        <v>16</v>
      </c>
      <c r="B25" s="515" t="s">
        <v>292</v>
      </c>
      <c r="C25" s="500">
        <v>7130880041</v>
      </c>
      <c r="D25" s="500" t="s">
        <v>1553</v>
      </c>
      <c r="E25" s="506">
        <f>VLOOKUP(C25,'SOR RATE'!A:D,4,0)</f>
        <v>74</v>
      </c>
      <c r="F25" s="500">
        <v>29</v>
      </c>
      <c r="G25" s="506">
        <f t="shared" si="0"/>
        <v>2146</v>
      </c>
      <c r="H25" s="500">
        <v>29</v>
      </c>
      <c r="I25" s="506">
        <f t="shared" si="1"/>
        <v>2146</v>
      </c>
      <c r="J25" s="500">
        <v>29</v>
      </c>
      <c r="K25" s="506">
        <f t="shared" si="2"/>
        <v>2146</v>
      </c>
      <c r="L25" s="500">
        <v>29</v>
      </c>
      <c r="M25" s="506">
        <f t="shared" si="3"/>
        <v>2146</v>
      </c>
      <c r="N25" s="24"/>
      <c r="O25" s="502"/>
    </row>
    <row r="26" spans="1:15" ht="17.25" customHeight="1">
      <c r="A26" s="498">
        <v>17</v>
      </c>
      <c r="B26" s="510" t="s">
        <v>360</v>
      </c>
      <c r="C26" s="498">
        <v>7130880006</v>
      </c>
      <c r="D26" s="498" t="s">
        <v>803</v>
      </c>
      <c r="E26" s="506">
        <f>VLOOKUP(C26,'SOR RATE'!A287:D287,4,0)</f>
        <v>124</v>
      </c>
      <c r="F26" s="498">
        <v>3</v>
      </c>
      <c r="G26" s="506">
        <f t="shared" si="0"/>
        <v>372</v>
      </c>
      <c r="H26" s="498">
        <v>3</v>
      </c>
      <c r="I26" s="506">
        <f t="shared" si="1"/>
        <v>372</v>
      </c>
      <c r="J26" s="498">
        <v>3</v>
      </c>
      <c r="K26" s="506">
        <f t="shared" si="2"/>
        <v>372</v>
      </c>
      <c r="L26" s="498">
        <v>3</v>
      </c>
      <c r="M26" s="506">
        <f t="shared" si="3"/>
        <v>372</v>
      </c>
      <c r="N26" s="24"/>
      <c r="O26" s="502"/>
    </row>
    <row r="27" spans="1:14" ht="30.75" customHeight="1">
      <c r="A27" s="1211">
        <v>18</v>
      </c>
      <c r="B27" s="510" t="s">
        <v>361</v>
      </c>
      <c r="C27" s="516"/>
      <c r="D27" s="464" t="s">
        <v>1160</v>
      </c>
      <c r="E27" s="222"/>
      <c r="F27" s="444">
        <v>21.25</v>
      </c>
      <c r="G27" s="517"/>
      <c r="H27" s="444">
        <v>21.25</v>
      </c>
      <c r="I27" s="506"/>
      <c r="J27" s="444"/>
      <c r="K27" s="506"/>
      <c r="L27" s="444"/>
      <c r="M27" s="506"/>
      <c r="N27" s="24"/>
    </row>
    <row r="28" spans="1:14" ht="16.5" customHeight="1">
      <c r="A28" s="1213"/>
      <c r="B28" s="151" t="s">
        <v>307</v>
      </c>
      <c r="C28" s="135">
        <v>7130200401</v>
      </c>
      <c r="D28" s="498" t="s">
        <v>458</v>
      </c>
      <c r="E28" s="506">
        <f>VLOOKUP(C28,'SOR RATE'!A:D,4,0)/50</f>
        <v>5.36</v>
      </c>
      <c r="F28" s="498">
        <f>208*21.25</f>
        <v>4420</v>
      </c>
      <c r="G28" s="506">
        <f>F28*E28</f>
        <v>23691.2</v>
      </c>
      <c r="H28" s="498">
        <f>208*21.25</f>
        <v>4420</v>
      </c>
      <c r="I28" s="506">
        <f>E28*H28</f>
        <v>23691.2</v>
      </c>
      <c r="J28" s="498"/>
      <c r="K28" s="506"/>
      <c r="L28" s="498"/>
      <c r="M28" s="506"/>
      <c r="N28" s="24"/>
    </row>
    <row r="29" spans="1:14" ht="16.5" customHeight="1">
      <c r="A29" s="498">
        <v>19</v>
      </c>
      <c r="B29" s="151" t="s">
        <v>242</v>
      </c>
      <c r="C29" s="135">
        <v>7130211158</v>
      </c>
      <c r="D29" s="498" t="s">
        <v>456</v>
      </c>
      <c r="E29" s="506">
        <f>VLOOKUP(C29,'SOR RATE'!A:D,4,0)</f>
        <v>130</v>
      </c>
      <c r="F29" s="498">
        <v>8</v>
      </c>
      <c r="G29" s="506">
        <f>E29*F29</f>
        <v>1040</v>
      </c>
      <c r="H29" s="498">
        <v>8</v>
      </c>
      <c r="I29" s="506">
        <f>E29*H29</f>
        <v>1040</v>
      </c>
      <c r="J29" s="498"/>
      <c r="K29" s="506"/>
      <c r="L29" s="498"/>
      <c r="M29" s="506"/>
      <c r="N29" s="24"/>
    </row>
    <row r="30" spans="1:14" ht="16.5" customHeight="1">
      <c r="A30" s="519">
        <v>20</v>
      </c>
      <c r="B30" s="151" t="s">
        <v>1171</v>
      </c>
      <c r="C30" s="135">
        <v>7130210809</v>
      </c>
      <c r="D30" s="498" t="s">
        <v>456</v>
      </c>
      <c r="E30" s="506">
        <f>VLOOKUP(C30,'SOR RATE'!A:D,4,0)</f>
        <v>290</v>
      </c>
      <c r="F30" s="498">
        <v>8</v>
      </c>
      <c r="G30" s="506">
        <f>E30*F30</f>
        <v>2320</v>
      </c>
      <c r="H30" s="498">
        <v>8</v>
      </c>
      <c r="I30" s="506">
        <f>E30*H30</f>
        <v>2320</v>
      </c>
      <c r="J30" s="498"/>
      <c r="K30" s="506"/>
      <c r="L30" s="498"/>
      <c r="M30" s="506"/>
      <c r="N30" s="24"/>
    </row>
    <row r="31" spans="1:14" ht="15.75">
      <c r="A31" s="1211">
        <v>21</v>
      </c>
      <c r="B31" s="151" t="s">
        <v>1552</v>
      </c>
      <c r="C31" s="15"/>
      <c r="D31" s="135" t="s">
        <v>458</v>
      </c>
      <c r="E31" s="3"/>
      <c r="F31" s="225">
        <v>30</v>
      </c>
      <c r="G31" s="138"/>
      <c r="H31" s="225">
        <v>30</v>
      </c>
      <c r="I31" s="506"/>
      <c r="J31" s="225">
        <v>30</v>
      </c>
      <c r="K31" s="506"/>
      <c r="L31" s="225">
        <v>30</v>
      </c>
      <c r="M31" s="506"/>
      <c r="N31" s="24"/>
    </row>
    <row r="32" spans="1:14" ht="15">
      <c r="A32" s="1212"/>
      <c r="B32" s="520" t="s">
        <v>438</v>
      </c>
      <c r="C32" s="140">
        <v>7130620609</v>
      </c>
      <c r="D32" s="135" t="s">
        <v>458</v>
      </c>
      <c r="E32" s="506">
        <f>VLOOKUP(C32,'SOR RATE'!A:D,4,0)</f>
        <v>64</v>
      </c>
      <c r="F32" s="225">
        <v>12</v>
      </c>
      <c r="G32" s="138">
        <f>F32*E32</f>
        <v>768</v>
      </c>
      <c r="H32" s="225">
        <v>12</v>
      </c>
      <c r="I32" s="506">
        <f t="shared" si="1"/>
        <v>768</v>
      </c>
      <c r="J32" s="225">
        <v>12</v>
      </c>
      <c r="K32" s="506">
        <f t="shared" si="2"/>
        <v>768</v>
      </c>
      <c r="L32" s="225">
        <v>12</v>
      </c>
      <c r="M32" s="506">
        <f t="shared" si="3"/>
        <v>768</v>
      </c>
      <c r="N32" s="24"/>
    </row>
    <row r="33" spans="1:14" ht="15">
      <c r="A33" s="1212"/>
      <c r="B33" s="520" t="s">
        <v>1336</v>
      </c>
      <c r="C33" s="140">
        <v>7130620614</v>
      </c>
      <c r="D33" s="135" t="s">
        <v>458</v>
      </c>
      <c r="E33" s="506">
        <f>VLOOKUP(C33,'SOR RATE'!A:D,4,0)</f>
        <v>63</v>
      </c>
      <c r="F33" s="225">
        <v>12</v>
      </c>
      <c r="G33" s="138">
        <f>F33*E33</f>
        <v>756</v>
      </c>
      <c r="H33" s="225">
        <v>12</v>
      </c>
      <c r="I33" s="506">
        <f t="shared" si="1"/>
        <v>756</v>
      </c>
      <c r="J33" s="225">
        <v>12</v>
      </c>
      <c r="K33" s="506">
        <f t="shared" si="2"/>
        <v>756</v>
      </c>
      <c r="L33" s="225">
        <v>12</v>
      </c>
      <c r="M33" s="506">
        <f t="shared" si="3"/>
        <v>756</v>
      </c>
      <c r="N33" s="24"/>
    </row>
    <row r="34" spans="1:14" ht="15">
      <c r="A34" s="1213"/>
      <c r="B34" s="520" t="s">
        <v>1338</v>
      </c>
      <c r="C34" s="140">
        <v>7130620625</v>
      </c>
      <c r="D34" s="135" t="s">
        <v>458</v>
      </c>
      <c r="E34" s="506">
        <f>VLOOKUP(C34,'SOR RATE'!A:D,4,0)</f>
        <v>62</v>
      </c>
      <c r="F34" s="225">
        <v>6</v>
      </c>
      <c r="G34" s="138">
        <f>F34*E34</f>
        <v>372</v>
      </c>
      <c r="H34" s="225">
        <v>6</v>
      </c>
      <c r="I34" s="506">
        <f t="shared" si="1"/>
        <v>372</v>
      </c>
      <c r="J34" s="225">
        <v>6</v>
      </c>
      <c r="K34" s="506">
        <f t="shared" si="2"/>
        <v>372</v>
      </c>
      <c r="L34" s="225">
        <v>6</v>
      </c>
      <c r="M34" s="506">
        <f t="shared" si="3"/>
        <v>372</v>
      </c>
      <c r="N34" s="24"/>
    </row>
    <row r="35" spans="1:14" ht="32.25" customHeight="1">
      <c r="A35" s="518">
        <v>22</v>
      </c>
      <c r="B35" s="425" t="s">
        <v>554</v>
      </c>
      <c r="C35" s="140">
        <v>7130320053</v>
      </c>
      <c r="D35" s="135" t="s">
        <v>803</v>
      </c>
      <c r="E35" s="506">
        <f>VLOOKUP(C35,'SOR RATE'!A:D,4,0)</f>
        <v>5</v>
      </c>
      <c r="F35" s="225">
        <v>530</v>
      </c>
      <c r="G35" s="138">
        <f>F35*E35</f>
        <v>2650</v>
      </c>
      <c r="H35" s="225">
        <v>530</v>
      </c>
      <c r="I35" s="506">
        <f t="shared" si="1"/>
        <v>2650</v>
      </c>
      <c r="J35" s="225">
        <v>530</v>
      </c>
      <c r="K35" s="506">
        <f t="shared" si="2"/>
        <v>2650</v>
      </c>
      <c r="L35" s="225">
        <v>530</v>
      </c>
      <c r="M35" s="506">
        <f t="shared" si="3"/>
        <v>2650</v>
      </c>
      <c r="N35" s="521"/>
    </row>
    <row r="36" spans="1:15" ht="18" customHeight="1">
      <c r="A36" s="497">
        <v>23</v>
      </c>
      <c r="B36" s="147" t="s">
        <v>1576</v>
      </c>
      <c r="C36" s="522"/>
      <c r="D36" s="522"/>
      <c r="E36" s="523"/>
      <c r="F36" s="522"/>
      <c r="G36" s="524">
        <f>SUM(G10:G35)</f>
        <v>1049808.003</v>
      </c>
      <c r="H36" s="524"/>
      <c r="I36" s="524">
        <f>SUM(I10:I35)</f>
        <v>1175985.103</v>
      </c>
      <c r="J36" s="524"/>
      <c r="K36" s="524">
        <f>SUM(K10:K35)</f>
        <v>556489.9880000001</v>
      </c>
      <c r="L36" s="524"/>
      <c r="M36" s="524">
        <f>SUM(M10:M35)</f>
        <v>682667.0880000001</v>
      </c>
      <c r="N36" s="99"/>
      <c r="O36" s="1110"/>
    </row>
    <row r="37" spans="1:15" ht="18" customHeight="1">
      <c r="A37" s="136">
        <v>24</v>
      </c>
      <c r="B37" s="139" t="s">
        <v>1575</v>
      </c>
      <c r="C37" s="525"/>
      <c r="D37" s="525"/>
      <c r="E37" s="500">
        <v>0.09</v>
      </c>
      <c r="F37" s="526"/>
      <c r="G37" s="506">
        <f>G36*E37</f>
        <v>94482.72027</v>
      </c>
      <c r="H37" s="506">
        <v>0.09</v>
      </c>
      <c r="I37" s="506">
        <f>I36*H37</f>
        <v>105838.65926999999</v>
      </c>
      <c r="J37" s="506">
        <v>0.09</v>
      </c>
      <c r="K37" s="506">
        <f>K36*J37</f>
        <v>50084.09892000001</v>
      </c>
      <c r="L37" s="506">
        <v>0.09</v>
      </c>
      <c r="M37" s="506">
        <f>M36*L37</f>
        <v>61440.03792000001</v>
      </c>
      <c r="N37" s="99"/>
      <c r="O37" s="1110"/>
    </row>
    <row r="38" spans="1:15" ht="34.5" customHeight="1">
      <c r="A38" s="136">
        <v>25</v>
      </c>
      <c r="B38" s="459" t="s">
        <v>316</v>
      </c>
      <c r="C38" s="527"/>
      <c r="D38" s="135" t="s">
        <v>803</v>
      </c>
      <c r="E38" s="137">
        <f>132*1.11*1.0891*1.086275*1.1112*1.0685</f>
        <v>205.81224590423886</v>
      </c>
      <c r="F38" s="525"/>
      <c r="G38" s="528"/>
      <c r="H38" s="528"/>
      <c r="I38" s="528"/>
      <c r="J38" s="529">
        <v>29</v>
      </c>
      <c r="K38" s="506">
        <f>E38*J38</f>
        <v>5968.555131222927</v>
      </c>
      <c r="L38" s="529">
        <v>29</v>
      </c>
      <c r="M38" s="506">
        <f>E38*L38</f>
        <v>5968.555131222927</v>
      </c>
      <c r="N38" s="99"/>
      <c r="O38" s="1110"/>
    </row>
    <row r="39" spans="1:15" ht="31.5" customHeight="1">
      <c r="A39" s="136">
        <v>26</v>
      </c>
      <c r="B39" s="459" t="s">
        <v>1372</v>
      </c>
      <c r="C39" s="472"/>
      <c r="D39" s="464" t="s">
        <v>454</v>
      </c>
      <c r="E39" s="473">
        <f>1664*1.27*1.0891*1.086275*1.1112*1.0685</f>
        <v>2968.460981603261</v>
      </c>
      <c r="F39" s="500">
        <v>21.25</v>
      </c>
      <c r="G39" s="506">
        <f>F39*E39</f>
        <v>63079.7958590693</v>
      </c>
      <c r="H39" s="506">
        <v>21.25</v>
      </c>
      <c r="I39" s="506">
        <f>E39*H39</f>
        <v>63079.7958590693</v>
      </c>
      <c r="J39" s="506"/>
      <c r="K39" s="506"/>
      <c r="L39" s="506"/>
      <c r="M39" s="506"/>
      <c r="N39" s="110"/>
      <c r="O39" s="56"/>
    </row>
    <row r="40" spans="1:15" ht="17.25" customHeight="1">
      <c r="A40" s="242">
        <v>27</v>
      </c>
      <c r="B40" s="454" t="s">
        <v>362</v>
      </c>
      <c r="C40" s="425"/>
      <c r="D40" s="425"/>
      <c r="E40" s="425"/>
      <c r="F40" s="530"/>
      <c r="G40" s="138">
        <v>116380.06</v>
      </c>
      <c r="H40" s="138"/>
      <c r="I40" s="138">
        <v>116380.06</v>
      </c>
      <c r="J40" s="138"/>
      <c r="K40" s="138">
        <v>104656.8</v>
      </c>
      <c r="L40" s="138"/>
      <c r="M40" s="138">
        <v>104656.8</v>
      </c>
      <c r="N40" s="100"/>
      <c r="O40" s="342"/>
    </row>
    <row r="41" spans="1:19" ht="18">
      <c r="A41" s="136">
        <v>28</v>
      </c>
      <c r="B41" s="531" t="s">
        <v>1588</v>
      </c>
      <c r="C41" s="532"/>
      <c r="D41" s="532"/>
      <c r="E41" s="533"/>
      <c r="F41" s="532"/>
      <c r="G41" s="138">
        <f>19350.62*1.1402*0.9368</f>
        <v>20669.1588624032</v>
      </c>
      <c r="H41" s="138"/>
      <c r="I41" s="138">
        <f>19350.62*1.1402*0.9368</f>
        <v>20669.1588624032</v>
      </c>
      <c r="J41" s="138"/>
      <c r="K41" s="138">
        <f>19350.62*1.1402*0.9368</f>
        <v>20669.1588624032</v>
      </c>
      <c r="L41" s="138"/>
      <c r="M41" s="138">
        <f>19350.62*1.1402*0.9368</f>
        <v>20669.1588624032</v>
      </c>
      <c r="N41" s="25"/>
      <c r="O41" s="25"/>
      <c r="P41" s="25"/>
      <c r="Q41" s="25"/>
      <c r="R41" s="25"/>
      <c r="S41" s="25"/>
    </row>
    <row r="42" spans="1:19" ht="18">
      <c r="A42" s="59">
        <v>29</v>
      </c>
      <c r="B42" s="147" t="s">
        <v>1577</v>
      </c>
      <c r="C42" s="425"/>
      <c r="D42" s="425"/>
      <c r="E42" s="425"/>
      <c r="F42" s="425"/>
      <c r="G42" s="148">
        <f>G36+G37+G39+G40+G41</f>
        <v>1344419.7379914725</v>
      </c>
      <c r="H42" s="148"/>
      <c r="I42" s="148">
        <f>I36+I37+I39+I40+I41</f>
        <v>1481952.7769914723</v>
      </c>
      <c r="J42" s="148"/>
      <c r="K42" s="148">
        <f>K36+K37+K38+K39+K40+K41</f>
        <v>737868.6009136264</v>
      </c>
      <c r="L42" s="148"/>
      <c r="M42" s="148">
        <f>M36+M37+M38+M39+M40+M41</f>
        <v>875401.6399136264</v>
      </c>
      <c r="N42" s="110"/>
      <c r="O42" s="56"/>
      <c r="P42" s="96"/>
      <c r="Q42" s="96"/>
      <c r="R42" s="96"/>
      <c r="S42" s="96"/>
    </row>
    <row r="43" spans="1:19" ht="46.5" customHeight="1">
      <c r="A43" s="136">
        <v>30</v>
      </c>
      <c r="B43" s="139" t="s">
        <v>1578</v>
      </c>
      <c r="C43" s="425"/>
      <c r="D43" s="425"/>
      <c r="E43" s="141" t="s">
        <v>363</v>
      </c>
      <c r="F43" s="425"/>
      <c r="G43" s="138">
        <f>G36*E43</f>
        <v>115478.88033</v>
      </c>
      <c r="H43" s="138"/>
      <c r="I43" s="138">
        <f>I36*E43</f>
        <v>129358.36132999999</v>
      </c>
      <c r="J43" s="138"/>
      <c r="K43" s="138">
        <f>K36*E43</f>
        <v>61213.89868000001</v>
      </c>
      <c r="L43" s="138"/>
      <c r="M43" s="138">
        <f>M36*E43</f>
        <v>75093.37968000001</v>
      </c>
      <c r="N43" s="110"/>
      <c r="O43" s="56"/>
      <c r="P43" s="96"/>
      <c r="Q43" s="96"/>
      <c r="R43" s="96"/>
      <c r="S43" s="96"/>
    </row>
    <row r="44" spans="1:14" ht="32.25" customHeight="1">
      <c r="A44" s="136">
        <v>31</v>
      </c>
      <c r="B44" s="134" t="s">
        <v>364</v>
      </c>
      <c r="C44" s="134"/>
      <c r="D44" s="134"/>
      <c r="E44" s="134"/>
      <c r="F44" s="134"/>
      <c r="G44" s="138">
        <f>G42+G43</f>
        <v>1459898.6183214725</v>
      </c>
      <c r="H44" s="138"/>
      <c r="I44" s="138">
        <f>I42+I43</f>
        <v>1611311.1383214723</v>
      </c>
      <c r="J44" s="138"/>
      <c r="K44" s="138">
        <f>K42+K43</f>
        <v>799082.4995936264</v>
      </c>
      <c r="L44" s="138"/>
      <c r="M44" s="138">
        <f>M42+M43</f>
        <v>950495.0195936264</v>
      </c>
      <c r="N44" s="24"/>
    </row>
    <row r="45" spans="1:14" ht="19.5" customHeight="1">
      <c r="A45" s="59">
        <v>32</v>
      </c>
      <c r="B45" s="534" t="s">
        <v>365</v>
      </c>
      <c r="C45" s="535"/>
      <c r="D45" s="535"/>
      <c r="E45" s="536"/>
      <c r="F45" s="535"/>
      <c r="G45" s="148">
        <f>ROUND(G44,0)</f>
        <v>1459899</v>
      </c>
      <c r="H45" s="148"/>
      <c r="I45" s="148">
        <f>ROUND(I44,0)</f>
        <v>1611311</v>
      </c>
      <c r="J45" s="148"/>
      <c r="K45" s="148">
        <f>ROUND(K44,0)</f>
        <v>799082</v>
      </c>
      <c r="L45" s="148"/>
      <c r="M45" s="148">
        <f>ROUND(M44,0)</f>
        <v>950495</v>
      </c>
      <c r="N45" s="24"/>
    </row>
    <row r="46" spans="1:14" ht="15">
      <c r="A46" s="62"/>
      <c r="B46" s="537"/>
      <c r="C46" s="537"/>
      <c r="D46" s="538"/>
      <c r="E46" s="76"/>
      <c r="F46" s="76"/>
      <c r="G46" s="76"/>
      <c r="H46" s="76"/>
      <c r="I46" s="76"/>
      <c r="J46" s="76"/>
      <c r="K46" s="76"/>
      <c r="L46" s="76"/>
      <c r="M46" s="76"/>
      <c r="N46" s="24"/>
    </row>
    <row r="47" spans="1:14" ht="15">
      <c r="A47" s="6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</sheetData>
  <sheetProtection/>
  <mergeCells count="15">
    <mergeCell ref="A31:A34"/>
    <mergeCell ref="L7:M7"/>
    <mergeCell ref="J7:K7"/>
    <mergeCell ref="J6:M6"/>
    <mergeCell ref="F7:G7"/>
    <mergeCell ref="A27:A28"/>
    <mergeCell ref="C1:H1"/>
    <mergeCell ref="B3:K3"/>
    <mergeCell ref="A6:A8"/>
    <mergeCell ref="B6:B8"/>
    <mergeCell ref="C6:C8"/>
    <mergeCell ref="D6:D8"/>
    <mergeCell ref="E6:E8"/>
    <mergeCell ref="F6:I6"/>
    <mergeCell ref="H7:I7"/>
  </mergeCells>
  <printOptions/>
  <pageMargins left="0.83" right="0.15" top="0.91" bottom="0.4" header="0.76" footer="0.29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M2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5.140625" style="36" customWidth="1"/>
    <col min="2" max="2" width="36.28125" style="1" customWidth="1"/>
    <col min="3" max="3" width="13.57421875" style="1" customWidth="1"/>
    <col min="4" max="4" width="8.140625" style="1" customWidth="1"/>
    <col min="5" max="5" width="6.140625" style="1" customWidth="1"/>
    <col min="6" max="6" width="10.8515625" style="1" customWidth="1"/>
    <col min="7" max="7" width="12.140625" style="1" customWidth="1"/>
    <col min="8" max="8" width="16.57421875" style="1" customWidth="1"/>
    <col min="9" max="9" width="12.28125" style="1" customWidth="1"/>
    <col min="10" max="10" width="15.57421875" style="1" customWidth="1"/>
    <col min="11" max="11" width="7.140625" style="1" customWidth="1"/>
    <col min="12" max="12" width="8.140625" style="1" customWidth="1"/>
    <col min="13" max="13" width="12.28125" style="1" customWidth="1"/>
    <col min="14" max="16384" width="9.140625" style="1" customWidth="1"/>
  </cols>
  <sheetData>
    <row r="2" spans="1:7" ht="18">
      <c r="A2" s="88"/>
      <c r="B2" s="1214" t="s">
        <v>366</v>
      </c>
      <c r="C2" s="1214"/>
      <c r="D2" s="1214"/>
      <c r="E2" s="1214"/>
      <c r="F2" s="41"/>
      <c r="G2" s="41"/>
    </row>
    <row r="3" spans="1:7" ht="12.75" customHeight="1">
      <c r="A3" s="88"/>
      <c r="B3" s="96"/>
      <c r="C3" s="96"/>
      <c r="D3" s="96"/>
      <c r="E3" s="96"/>
      <c r="F3" s="41"/>
      <c r="G3" s="41"/>
    </row>
    <row r="4" spans="1:7" ht="33.75" customHeight="1">
      <c r="A4" s="88"/>
      <c r="B4" s="1156" t="s">
        <v>649</v>
      </c>
      <c r="C4" s="1156"/>
      <c r="D4" s="1156"/>
      <c r="E4" s="1156"/>
      <c r="F4" s="1156"/>
      <c r="G4" s="23"/>
    </row>
    <row r="5" spans="1:7" ht="12.75" customHeight="1">
      <c r="A5" s="88"/>
      <c r="B5" s="21"/>
      <c r="C5" s="21"/>
      <c r="D5" s="21"/>
      <c r="E5" s="21"/>
      <c r="F5" s="21"/>
      <c r="G5" s="23"/>
    </row>
    <row r="6" spans="1:7" ht="15.75" customHeight="1">
      <c r="A6" s="88"/>
      <c r="B6" s="21"/>
      <c r="C6" s="21"/>
      <c r="D6" s="21"/>
      <c r="E6" s="21"/>
      <c r="F6" s="1065" t="s">
        <v>551</v>
      </c>
      <c r="G6" s="23"/>
    </row>
    <row r="7" spans="1:7" ht="12" customHeight="1">
      <c r="A7" s="88"/>
      <c r="B7" s="21"/>
      <c r="C7" s="21"/>
      <c r="D7" s="21"/>
      <c r="E7" s="21"/>
      <c r="F7" s="21"/>
      <c r="G7" s="23"/>
    </row>
    <row r="8" spans="1:7" ht="30" customHeight="1">
      <c r="A8" s="539" t="s">
        <v>1335</v>
      </c>
      <c r="B8" s="22" t="s">
        <v>449</v>
      </c>
      <c r="C8" s="540" t="s">
        <v>53</v>
      </c>
      <c r="D8" s="59" t="s">
        <v>450</v>
      </c>
      <c r="E8" s="59" t="s">
        <v>1370</v>
      </c>
      <c r="F8" s="445" t="s">
        <v>925</v>
      </c>
      <c r="G8" s="445" t="s">
        <v>7</v>
      </c>
    </row>
    <row r="9" spans="1:13" ht="18.75" customHeight="1">
      <c r="A9" s="541">
        <v>1</v>
      </c>
      <c r="B9" s="134" t="s">
        <v>650</v>
      </c>
      <c r="C9" s="140">
        <v>7130830060</v>
      </c>
      <c r="D9" s="136" t="s">
        <v>440</v>
      </c>
      <c r="E9" s="136">
        <v>3.03</v>
      </c>
      <c r="F9" s="138">
        <f>VLOOKUP(C9,'SOR RATE'!A:D,4,0)</f>
        <v>50002</v>
      </c>
      <c r="G9" s="138">
        <f>F9*E9</f>
        <v>151506.06</v>
      </c>
      <c r="I9" s="46"/>
      <c r="J9" s="43"/>
      <c r="K9" s="48"/>
      <c r="L9" s="542"/>
      <c r="M9" s="26"/>
    </row>
    <row r="10" spans="1:13" ht="30" customHeight="1">
      <c r="A10" s="133">
        <v>2</v>
      </c>
      <c r="B10" s="134" t="s">
        <v>651</v>
      </c>
      <c r="C10" s="238">
        <v>7130810511</v>
      </c>
      <c r="D10" s="136" t="s">
        <v>452</v>
      </c>
      <c r="E10" s="136">
        <v>1</v>
      </c>
      <c r="F10" s="138">
        <f>VLOOKUP(C10,'SOR RATE'!A:D,4,0)</f>
        <v>2485</v>
      </c>
      <c r="G10" s="138">
        <f>F10*E10</f>
        <v>2485</v>
      </c>
      <c r="I10" s="65"/>
      <c r="J10" s="65"/>
      <c r="K10" s="65"/>
      <c r="L10" s="65"/>
      <c r="M10" s="65"/>
    </row>
    <row r="11" spans="1:7" ht="16.5" customHeight="1">
      <c r="A11" s="133">
        <v>3</v>
      </c>
      <c r="B11" s="134" t="s">
        <v>652</v>
      </c>
      <c r="C11" s="238">
        <v>7130870043</v>
      </c>
      <c r="D11" s="136" t="s">
        <v>458</v>
      </c>
      <c r="E11" s="136">
        <v>35</v>
      </c>
      <c r="F11" s="138">
        <f>VLOOKUP(C11,'SOR RATE'!A:D,4,0)/1000</f>
        <v>55.094</v>
      </c>
      <c r="G11" s="138">
        <f>E11*F11</f>
        <v>1928.29</v>
      </c>
    </row>
    <row r="12" spans="1:7" ht="14.25">
      <c r="A12" s="133">
        <v>4</v>
      </c>
      <c r="B12" s="134" t="s">
        <v>1330</v>
      </c>
      <c r="C12" s="238">
        <v>7130810026</v>
      </c>
      <c r="D12" s="136" t="s">
        <v>452</v>
      </c>
      <c r="E12" s="136">
        <v>2</v>
      </c>
      <c r="F12" s="138">
        <f>VLOOKUP(C12,'SOR RATE'!A:D,4,0)</f>
        <v>142</v>
      </c>
      <c r="G12" s="138">
        <f>E12*F12</f>
        <v>284</v>
      </c>
    </row>
    <row r="13" spans="1:10" ht="16.5" customHeight="1">
      <c r="A13" s="133">
        <v>5</v>
      </c>
      <c r="B13" s="338" t="s">
        <v>653</v>
      </c>
      <c r="C13" s="238">
        <v>7130860077</v>
      </c>
      <c r="D13" s="136" t="s">
        <v>458</v>
      </c>
      <c r="E13" s="136">
        <v>11</v>
      </c>
      <c r="F13" s="138">
        <f>VLOOKUP(C13,'SOR RATE'!A:D,4,0)/1000</f>
        <v>61.6</v>
      </c>
      <c r="G13" s="138">
        <f>E13*F13</f>
        <v>677.6</v>
      </c>
      <c r="I13" s="1111"/>
      <c r="J13" s="543"/>
    </row>
    <row r="14" spans="1:7" ht="14.25">
      <c r="A14" s="133">
        <v>6</v>
      </c>
      <c r="B14" s="134" t="s">
        <v>355</v>
      </c>
      <c r="C14" s="259">
        <v>7130860032</v>
      </c>
      <c r="D14" s="136" t="s">
        <v>452</v>
      </c>
      <c r="E14" s="136">
        <v>2</v>
      </c>
      <c r="F14" s="138">
        <f>VLOOKUP(C14,'SOR RATE'!A:D,4,0)</f>
        <v>387</v>
      </c>
      <c r="G14" s="138">
        <f>E14*F14</f>
        <v>774</v>
      </c>
    </row>
    <row r="15" spans="1:7" ht="14.25">
      <c r="A15" s="133">
        <v>7</v>
      </c>
      <c r="B15" s="134" t="s">
        <v>654</v>
      </c>
      <c r="C15" s="238">
        <v>7130620013</v>
      </c>
      <c r="D15" s="136" t="s">
        <v>452</v>
      </c>
      <c r="E15" s="136">
        <v>4</v>
      </c>
      <c r="F15" s="138">
        <f>VLOOKUP(C15,'SOR RATE'!A:D,4,0)</f>
        <v>118</v>
      </c>
      <c r="G15" s="138">
        <f>E15*F15</f>
        <v>472</v>
      </c>
    </row>
    <row r="16" spans="1:8" ht="15">
      <c r="A16" s="146">
        <v>8</v>
      </c>
      <c r="B16" s="314" t="s">
        <v>655</v>
      </c>
      <c r="C16" s="136"/>
      <c r="D16" s="544"/>
      <c r="E16" s="136"/>
      <c r="F16" s="239"/>
      <c r="G16" s="148">
        <f>SUM(G9:G15)</f>
        <v>158126.95</v>
      </c>
      <c r="H16" s="65"/>
    </row>
    <row r="17" spans="1:8" ht="14.25">
      <c r="A17" s="133">
        <v>9</v>
      </c>
      <c r="B17" s="134" t="s">
        <v>295</v>
      </c>
      <c r="C17" s="136"/>
      <c r="D17" s="136" t="s">
        <v>294</v>
      </c>
      <c r="E17" s="136">
        <v>1</v>
      </c>
      <c r="F17" s="138">
        <f>F18*0.5</f>
        <v>3917.435</v>
      </c>
      <c r="G17" s="138">
        <f>E17*F17</f>
        <v>3917.435</v>
      </c>
      <c r="H17" s="65"/>
    </row>
    <row r="18" spans="1:9" ht="30" customHeight="1">
      <c r="A18" s="136">
        <v>10</v>
      </c>
      <c r="B18" s="134" t="s">
        <v>1095</v>
      </c>
      <c r="C18" s="136"/>
      <c r="D18" s="136" t="s">
        <v>294</v>
      </c>
      <c r="E18" s="136">
        <v>1</v>
      </c>
      <c r="F18" s="1037">
        <v>7834.87</v>
      </c>
      <c r="G18" s="138">
        <f>E18*F18</f>
        <v>7834.87</v>
      </c>
      <c r="H18" s="545"/>
      <c r="I18" s="294"/>
    </row>
    <row r="19" spans="1:9" ht="15">
      <c r="A19" s="146">
        <v>11</v>
      </c>
      <c r="B19" s="147" t="s">
        <v>1576</v>
      </c>
      <c r="C19" s="535"/>
      <c r="D19" s="535"/>
      <c r="E19" s="535"/>
      <c r="F19" s="536"/>
      <c r="G19" s="148">
        <f>G16+(G17+G18)</f>
        <v>169879.255</v>
      </c>
      <c r="H19" s="103"/>
      <c r="I19" s="1110"/>
    </row>
    <row r="20" spans="1:9" ht="15.75">
      <c r="A20" s="133">
        <v>12</v>
      </c>
      <c r="B20" s="139" t="s">
        <v>1575</v>
      </c>
      <c r="C20" s="546"/>
      <c r="D20" s="546"/>
      <c r="E20" s="546"/>
      <c r="F20" s="547">
        <v>0.09</v>
      </c>
      <c r="G20" s="149">
        <f>G19*F20</f>
        <v>15289.13295</v>
      </c>
      <c r="H20" s="103"/>
      <c r="I20" s="1110"/>
    </row>
    <row r="21" spans="1:7" ht="15">
      <c r="A21" s="133">
        <v>13</v>
      </c>
      <c r="B21" s="548" t="s">
        <v>1579</v>
      </c>
      <c r="C21" s="549"/>
      <c r="D21" s="549"/>
      <c r="E21" s="549"/>
      <c r="F21" s="550"/>
      <c r="G21" s="138">
        <f>2500*1.1797*1.1402*0.9368</f>
        <v>3150.21000748</v>
      </c>
    </row>
    <row r="22" spans="1:9" ht="15">
      <c r="A22" s="146">
        <v>14</v>
      </c>
      <c r="B22" s="147" t="s">
        <v>1577</v>
      </c>
      <c r="C22" s="549"/>
      <c r="D22" s="549"/>
      <c r="E22" s="549"/>
      <c r="F22" s="550"/>
      <c r="G22" s="148">
        <f>G19+G20+G21</f>
        <v>188318.59795748</v>
      </c>
      <c r="H22" s="104"/>
      <c r="I22" s="56"/>
    </row>
    <row r="23" spans="1:9" ht="48.75" customHeight="1">
      <c r="A23" s="133">
        <v>15</v>
      </c>
      <c r="B23" s="139" t="s">
        <v>1578</v>
      </c>
      <c r="C23" s="549"/>
      <c r="D23" s="549"/>
      <c r="E23" s="549"/>
      <c r="F23" s="547">
        <v>0.11</v>
      </c>
      <c r="G23" s="138">
        <f>G19*F23</f>
        <v>18686.71805</v>
      </c>
      <c r="H23" s="104"/>
      <c r="I23" s="56"/>
    </row>
    <row r="24" spans="1:7" ht="15.75">
      <c r="A24" s="40">
        <v>16</v>
      </c>
      <c r="B24" s="1215" t="s">
        <v>1096</v>
      </c>
      <c r="C24" s="1215"/>
      <c r="D24" s="1215"/>
      <c r="E24" s="1215"/>
      <c r="F24" s="1215"/>
      <c r="G24" s="148">
        <f>G22+G23</f>
        <v>207005.31600748</v>
      </c>
    </row>
    <row r="25" spans="1:7" ht="15.75">
      <c r="A25" s="146">
        <v>17</v>
      </c>
      <c r="B25" s="1216" t="s">
        <v>365</v>
      </c>
      <c r="C25" s="1216"/>
      <c r="D25" s="1216"/>
      <c r="E25" s="1216"/>
      <c r="F25" s="1216"/>
      <c r="G25" s="198">
        <f>ROUND(G24,0)</f>
        <v>207005</v>
      </c>
    </row>
    <row r="26" spans="2:6" ht="15.75">
      <c r="B26" s="65"/>
      <c r="C26" s="551"/>
      <c r="D26" s="87"/>
      <c r="E26" s="70"/>
      <c r="F26" s="35"/>
    </row>
  </sheetData>
  <sheetProtection/>
  <mergeCells count="4">
    <mergeCell ref="B2:E2"/>
    <mergeCell ref="B4:F4"/>
    <mergeCell ref="B24:F24"/>
    <mergeCell ref="B25:F25"/>
  </mergeCells>
  <printOptions/>
  <pageMargins left="1.03" right="0.22" top="0.9" bottom="0.7" header="0.71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3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421875" style="36" bestFit="1" customWidth="1"/>
    <col min="2" max="2" width="35.00390625" style="1" customWidth="1"/>
    <col min="3" max="3" width="14.8515625" style="1" customWidth="1"/>
    <col min="4" max="4" width="8.00390625" style="1" customWidth="1"/>
    <col min="5" max="5" width="6.421875" style="1" customWidth="1"/>
    <col min="6" max="6" width="9.7109375" style="1" customWidth="1"/>
    <col min="7" max="7" width="12.28125" style="1" customWidth="1"/>
    <col min="8" max="8" width="15.8515625" style="1" customWidth="1"/>
    <col min="9" max="9" width="12.28125" style="1" customWidth="1"/>
    <col min="10" max="10" width="12.00390625" style="1" customWidth="1"/>
    <col min="11" max="11" width="9.140625" style="1" customWidth="1"/>
    <col min="12" max="12" width="5.28125" style="1" customWidth="1"/>
    <col min="13" max="13" width="9.140625" style="1" customWidth="1"/>
    <col min="14" max="14" width="26.8515625" style="1" customWidth="1"/>
    <col min="15" max="16384" width="9.140625" style="1" customWidth="1"/>
  </cols>
  <sheetData>
    <row r="1" spans="1:7" ht="18">
      <c r="A1" s="62" t="s">
        <v>437</v>
      </c>
      <c r="B1" s="1214" t="s">
        <v>1097</v>
      </c>
      <c r="C1" s="1214"/>
      <c r="D1" s="1214"/>
      <c r="E1" s="25"/>
      <c r="F1" s="25"/>
      <c r="G1" s="25"/>
    </row>
    <row r="2" spans="1:7" ht="13.5" customHeight="1">
      <c r="A2" s="62"/>
      <c r="B2" s="96"/>
      <c r="C2" s="96"/>
      <c r="D2" s="96"/>
      <c r="E2" s="25"/>
      <c r="F2" s="25"/>
      <c r="G2" s="25"/>
    </row>
    <row r="3" spans="1:14" ht="33" customHeight="1">
      <c r="A3" s="62"/>
      <c r="B3" s="1156" t="s">
        <v>1098</v>
      </c>
      <c r="C3" s="1156"/>
      <c r="D3" s="1156"/>
      <c r="E3" s="1156"/>
      <c r="F3" s="1156"/>
      <c r="G3" s="1156"/>
      <c r="I3" s="552"/>
      <c r="J3" s="552"/>
      <c r="K3" s="552"/>
      <c r="L3" s="552"/>
      <c r="M3" s="552"/>
      <c r="N3" s="552"/>
    </row>
    <row r="4" spans="1:14" ht="15">
      <c r="A4" s="62"/>
      <c r="B4" s="21"/>
      <c r="C4" s="21"/>
      <c r="D4" s="21"/>
      <c r="E4" s="21"/>
      <c r="F4" s="21"/>
      <c r="G4" s="21"/>
      <c r="I4" s="552"/>
      <c r="J4" s="552"/>
      <c r="K4" s="552"/>
      <c r="L4" s="552"/>
      <c r="M4" s="552"/>
      <c r="N4" s="552"/>
    </row>
    <row r="5" spans="1:14" ht="15">
      <c r="A5" s="62"/>
      <c r="B5" s="21"/>
      <c r="C5" s="21"/>
      <c r="D5" s="21"/>
      <c r="E5" s="21"/>
      <c r="F5" s="21"/>
      <c r="G5" s="1065" t="s">
        <v>551</v>
      </c>
      <c r="I5" s="552"/>
      <c r="J5" s="552"/>
      <c r="K5" s="552"/>
      <c r="L5" s="552"/>
      <c r="M5" s="552"/>
      <c r="N5" s="552"/>
    </row>
    <row r="6" spans="1:14" ht="15">
      <c r="A6" s="62"/>
      <c r="B6" s="21"/>
      <c r="C6" s="21"/>
      <c r="D6" s="21"/>
      <c r="E6" s="21"/>
      <c r="F6" s="21"/>
      <c r="I6" s="552"/>
      <c r="J6" s="552"/>
      <c r="K6" s="552"/>
      <c r="L6" s="552"/>
      <c r="M6" s="552"/>
      <c r="N6" s="552"/>
    </row>
    <row r="7" spans="1:7" ht="30">
      <c r="A7" s="444" t="s">
        <v>1335</v>
      </c>
      <c r="B7" s="22" t="s">
        <v>449</v>
      </c>
      <c r="C7" s="553" t="s">
        <v>53</v>
      </c>
      <c r="D7" s="22" t="s">
        <v>450</v>
      </c>
      <c r="E7" s="22" t="s">
        <v>1370</v>
      </c>
      <c r="F7" s="445" t="s">
        <v>925</v>
      </c>
      <c r="G7" s="445" t="s">
        <v>7</v>
      </c>
    </row>
    <row r="8" spans="1:12" ht="16.5" customHeight="1">
      <c r="A8" s="136">
        <v>1</v>
      </c>
      <c r="B8" s="253" t="s">
        <v>1099</v>
      </c>
      <c r="C8" s="238">
        <v>7130830057</v>
      </c>
      <c r="D8" s="150" t="s">
        <v>440</v>
      </c>
      <c r="E8" s="150">
        <v>3.03</v>
      </c>
      <c r="F8" s="152">
        <f>VLOOKUP(C8,'SOR RATE'!A:D,4,0)</f>
        <v>33544</v>
      </c>
      <c r="G8" s="152">
        <f>F8*E8</f>
        <v>101638.31999999999</v>
      </c>
      <c r="H8" s="514"/>
      <c r="I8" s="514"/>
      <c r="J8" s="514"/>
      <c r="K8" s="65"/>
      <c r="L8" s="65"/>
    </row>
    <row r="9" spans="1:12" ht="30.75" customHeight="1">
      <c r="A9" s="136">
        <v>2</v>
      </c>
      <c r="B9" s="134" t="s">
        <v>651</v>
      </c>
      <c r="C9" s="238">
        <v>7130810511</v>
      </c>
      <c r="D9" s="136" t="s">
        <v>452</v>
      </c>
      <c r="E9" s="136">
        <v>1</v>
      </c>
      <c r="F9" s="138">
        <f>VLOOKUP(C9,'SOR RATE'!A:D,4,0)</f>
        <v>2485</v>
      </c>
      <c r="G9" s="138">
        <f>F9*E9</f>
        <v>2485</v>
      </c>
      <c r="H9" s="514"/>
      <c r="J9" s="514"/>
      <c r="K9" s="65"/>
      <c r="L9" s="65"/>
    </row>
    <row r="10" spans="1:12" ht="15">
      <c r="A10" s="136">
        <v>3</v>
      </c>
      <c r="B10" s="253" t="s">
        <v>652</v>
      </c>
      <c r="C10" s="238">
        <v>7130870043</v>
      </c>
      <c r="D10" s="150" t="s">
        <v>458</v>
      </c>
      <c r="E10" s="150">
        <v>35</v>
      </c>
      <c r="F10" s="138">
        <f>VLOOKUP(C10,'SOR RATE'!A:D,4,0)/1000</f>
        <v>55.094</v>
      </c>
      <c r="G10" s="152">
        <f aca="true" t="shared" si="0" ref="G10:G17">E10*F10</f>
        <v>1928.29</v>
      </c>
      <c r="H10" s="514"/>
      <c r="I10" s="514"/>
      <c r="J10" s="514"/>
      <c r="K10" s="65"/>
      <c r="L10" s="65"/>
    </row>
    <row r="11" spans="1:12" ht="15">
      <c r="A11" s="136">
        <v>4</v>
      </c>
      <c r="B11" s="253" t="s">
        <v>1330</v>
      </c>
      <c r="C11" s="238">
        <v>7130810026</v>
      </c>
      <c r="D11" s="150" t="s">
        <v>452</v>
      </c>
      <c r="E11" s="150">
        <v>2</v>
      </c>
      <c r="F11" s="138">
        <f>VLOOKUP(C11,'SOR RATE'!A:D,4,0)</f>
        <v>142</v>
      </c>
      <c r="G11" s="152">
        <f t="shared" si="0"/>
        <v>284</v>
      </c>
      <c r="H11" s="514"/>
      <c r="I11" s="514"/>
      <c r="J11" s="514"/>
      <c r="K11" s="65"/>
      <c r="L11" s="65"/>
    </row>
    <row r="12" spans="1:12" ht="15">
      <c r="A12" s="136">
        <v>5</v>
      </c>
      <c r="B12" s="338" t="s">
        <v>653</v>
      </c>
      <c r="C12" s="238">
        <v>7130860077</v>
      </c>
      <c r="D12" s="150" t="s">
        <v>458</v>
      </c>
      <c r="E12" s="150">
        <v>11</v>
      </c>
      <c r="F12" s="138">
        <f>VLOOKUP(C12,'SOR RATE'!A:D,4,0)/1000</f>
        <v>61.6</v>
      </c>
      <c r="G12" s="152">
        <f t="shared" si="0"/>
        <v>677.6</v>
      </c>
      <c r="H12" s="514"/>
      <c r="I12" s="514"/>
      <c r="J12" s="514"/>
      <c r="K12" s="65"/>
      <c r="L12" s="65"/>
    </row>
    <row r="13" spans="1:12" ht="15">
      <c r="A13" s="136">
        <v>6</v>
      </c>
      <c r="B13" s="253" t="s">
        <v>355</v>
      </c>
      <c r="C13" s="238">
        <v>7130860032</v>
      </c>
      <c r="D13" s="150" t="s">
        <v>452</v>
      </c>
      <c r="E13" s="150">
        <v>2</v>
      </c>
      <c r="F13" s="138">
        <f>VLOOKUP(C13,'SOR RATE'!A:D,4,0)</f>
        <v>387</v>
      </c>
      <c r="G13" s="152">
        <f>E13*F13</f>
        <v>774</v>
      </c>
      <c r="H13" s="514"/>
      <c r="I13" s="514"/>
      <c r="J13" s="514"/>
      <c r="K13" s="65"/>
      <c r="L13" s="65"/>
    </row>
    <row r="14" spans="1:12" ht="15">
      <c r="A14" s="136">
        <v>7</v>
      </c>
      <c r="B14" s="134" t="s">
        <v>654</v>
      </c>
      <c r="C14" s="238">
        <v>7130620013</v>
      </c>
      <c r="D14" s="150" t="s">
        <v>803</v>
      </c>
      <c r="E14" s="150">
        <v>4</v>
      </c>
      <c r="F14" s="138">
        <f>VLOOKUP(C14,'SOR RATE'!A:D,4,0)</f>
        <v>118</v>
      </c>
      <c r="G14" s="152">
        <f t="shared" si="0"/>
        <v>472</v>
      </c>
      <c r="H14" s="514"/>
      <c r="I14" s="514"/>
      <c r="J14" s="514"/>
      <c r="K14" s="65"/>
      <c r="L14" s="65"/>
    </row>
    <row r="15" spans="1:12" ht="15.75">
      <c r="A15" s="136">
        <v>8</v>
      </c>
      <c r="B15" s="249" t="s">
        <v>655</v>
      </c>
      <c r="C15" s="554"/>
      <c r="D15" s="555"/>
      <c r="E15" s="150"/>
      <c r="F15" s="150"/>
      <c r="G15" s="198">
        <f>G8+G9+G10+G11+G12+G13+G14</f>
        <v>108259.20999999999</v>
      </c>
      <c r="H15" s="65"/>
      <c r="I15" s="65"/>
      <c r="J15" s="514"/>
      <c r="K15" s="65"/>
      <c r="L15" s="65"/>
    </row>
    <row r="16" spans="1:12" ht="17.25" customHeight="1">
      <c r="A16" s="136">
        <v>9</v>
      </c>
      <c r="B16" s="134" t="s">
        <v>295</v>
      </c>
      <c r="C16" s="253"/>
      <c r="D16" s="253" t="s">
        <v>294</v>
      </c>
      <c r="E16" s="150">
        <v>1</v>
      </c>
      <c r="F16" s="152">
        <f>F17*0.5</f>
        <v>3625.5</v>
      </c>
      <c r="G16" s="152">
        <f t="shared" si="0"/>
        <v>3625.5</v>
      </c>
      <c r="H16" s="65"/>
      <c r="I16" s="65"/>
      <c r="J16" s="65"/>
      <c r="K16" s="65"/>
      <c r="L16" s="65"/>
    </row>
    <row r="17" spans="1:12" ht="30" customHeight="1">
      <c r="A17" s="136">
        <v>10</v>
      </c>
      <c r="B17" s="134" t="s">
        <v>1100</v>
      </c>
      <c r="C17" s="253"/>
      <c r="D17" s="556" t="s">
        <v>294</v>
      </c>
      <c r="E17" s="136">
        <v>1</v>
      </c>
      <c r="F17" s="1037">
        <v>7251</v>
      </c>
      <c r="G17" s="138">
        <f t="shared" si="0"/>
        <v>7251</v>
      </c>
      <c r="H17" s="545"/>
      <c r="I17" s="65"/>
      <c r="J17" s="65"/>
      <c r="K17" s="65"/>
      <c r="L17" s="65"/>
    </row>
    <row r="18" spans="1:12" ht="15">
      <c r="A18" s="136">
        <v>11</v>
      </c>
      <c r="B18" s="147" t="s">
        <v>1576</v>
      </c>
      <c r="C18" s="250"/>
      <c r="D18" s="250"/>
      <c r="E18" s="250"/>
      <c r="F18" s="251"/>
      <c r="G18" s="198">
        <f>G15+G16+G17</f>
        <v>119135.70999999999</v>
      </c>
      <c r="H18" s="103"/>
      <c r="I18" s="1110"/>
      <c r="J18" s="65"/>
      <c r="K18" s="65"/>
      <c r="L18" s="65"/>
    </row>
    <row r="19" spans="1:12" ht="17.25" customHeight="1">
      <c r="A19" s="136">
        <v>12</v>
      </c>
      <c r="B19" s="139" t="s">
        <v>1575</v>
      </c>
      <c r="C19" s="196"/>
      <c r="D19" s="196"/>
      <c r="E19" s="196"/>
      <c r="F19" s="136">
        <v>0.09</v>
      </c>
      <c r="G19" s="138">
        <f>G18*F19</f>
        <v>10722.213899999999</v>
      </c>
      <c r="H19" s="103"/>
      <c r="I19" s="1110"/>
      <c r="J19" s="65"/>
      <c r="K19" s="65"/>
      <c r="L19" s="65"/>
    </row>
    <row r="20" spans="1:12" ht="16.5" customHeight="1">
      <c r="A20" s="133">
        <v>13</v>
      </c>
      <c r="B20" s="548" t="s">
        <v>1579</v>
      </c>
      <c r="C20" s="549"/>
      <c r="D20" s="549"/>
      <c r="E20" s="549"/>
      <c r="F20" s="557"/>
      <c r="G20" s="152">
        <f>2500*1.1797*1.1402*0.9368</f>
        <v>3150.21000748</v>
      </c>
      <c r="H20" s="65"/>
      <c r="I20" s="65"/>
      <c r="J20" s="65"/>
      <c r="K20" s="65"/>
      <c r="L20" s="65"/>
    </row>
    <row r="21" spans="1:12" ht="16.5" customHeight="1">
      <c r="A21" s="146">
        <v>14</v>
      </c>
      <c r="B21" s="147" t="s">
        <v>1577</v>
      </c>
      <c r="C21" s="558"/>
      <c r="D21" s="558"/>
      <c r="E21" s="558"/>
      <c r="F21" s="559"/>
      <c r="G21" s="198">
        <f>G18+G19+G20</f>
        <v>133008.13390748</v>
      </c>
      <c r="H21" s="104"/>
      <c r="I21" s="65"/>
      <c r="J21" s="65"/>
      <c r="K21" s="65"/>
      <c r="L21" s="65"/>
    </row>
    <row r="22" spans="1:12" ht="46.5" customHeight="1">
      <c r="A22" s="136">
        <v>15</v>
      </c>
      <c r="B22" s="139" t="s">
        <v>1578</v>
      </c>
      <c r="C22" s="558"/>
      <c r="D22" s="558"/>
      <c r="E22" s="558"/>
      <c r="F22" s="560">
        <v>0.11</v>
      </c>
      <c r="G22" s="138">
        <f>G18*F22</f>
        <v>13104.9281</v>
      </c>
      <c r="H22" s="104"/>
      <c r="I22" s="65"/>
      <c r="J22" s="65"/>
      <c r="K22" s="65"/>
      <c r="L22" s="65"/>
    </row>
    <row r="23" spans="1:12" ht="14.25">
      <c r="A23" s="150">
        <v>16</v>
      </c>
      <c r="B23" s="1217" t="s">
        <v>1096</v>
      </c>
      <c r="C23" s="1217"/>
      <c r="D23" s="1217"/>
      <c r="E23" s="1217"/>
      <c r="F23" s="1217"/>
      <c r="G23" s="152">
        <f>G21+G22</f>
        <v>146113.06200747998</v>
      </c>
      <c r="H23" s="65"/>
      <c r="I23" s="65"/>
      <c r="J23" s="65"/>
      <c r="K23" s="65"/>
      <c r="L23" s="65"/>
    </row>
    <row r="24" spans="1:12" ht="15">
      <c r="A24" s="146">
        <v>17</v>
      </c>
      <c r="B24" s="1218" t="s">
        <v>365</v>
      </c>
      <c r="C24" s="1218"/>
      <c r="D24" s="1218"/>
      <c r="E24" s="1218"/>
      <c r="F24" s="1218"/>
      <c r="G24" s="198">
        <f>ROUND(G23,0)</f>
        <v>146113</v>
      </c>
      <c r="H24" s="65"/>
      <c r="I24" s="65"/>
      <c r="J24" s="65"/>
      <c r="K24" s="65"/>
      <c r="L24" s="65"/>
    </row>
    <row r="25" spans="1:7" ht="12.75">
      <c r="A25" s="89"/>
      <c r="B25" s="65"/>
      <c r="C25" s="65"/>
      <c r="D25" s="65"/>
      <c r="E25" s="65"/>
      <c r="F25" s="65"/>
      <c r="G25" s="65"/>
    </row>
    <row r="26" spans="1:7" ht="14.25">
      <c r="A26" s="89"/>
      <c r="B26" s="79"/>
      <c r="C26" s="561"/>
      <c r="D26" s="424"/>
      <c r="E26" s="424"/>
      <c r="F26" s="509"/>
      <c r="G26" s="65"/>
    </row>
    <row r="27" spans="1:7" ht="14.25">
      <c r="A27" s="89"/>
      <c r="B27" s="79"/>
      <c r="C27" s="562"/>
      <c r="D27" s="424"/>
      <c r="E27" s="424"/>
      <c r="F27" s="509"/>
      <c r="G27" s="65"/>
    </row>
    <row r="28" spans="1:7" ht="14.25">
      <c r="A28" s="89"/>
      <c r="B28" s="79"/>
      <c r="C28" s="561"/>
      <c r="D28" s="424"/>
      <c r="E28" s="424"/>
      <c r="F28" s="509"/>
      <c r="G28" s="65"/>
    </row>
    <row r="29" spans="1:7" ht="14.25">
      <c r="A29" s="89"/>
      <c r="B29" s="563"/>
      <c r="C29" s="562"/>
      <c r="D29" s="424"/>
      <c r="E29" s="424"/>
      <c r="F29" s="509"/>
      <c r="G29" s="65"/>
    </row>
    <row r="30" spans="1:7" ht="14.25">
      <c r="A30" s="89"/>
      <c r="B30" s="79"/>
      <c r="C30" s="564"/>
      <c r="D30" s="424"/>
      <c r="E30" s="424"/>
      <c r="F30" s="509"/>
      <c r="G30" s="65"/>
    </row>
    <row r="31" spans="1:7" ht="14.25">
      <c r="A31" s="89"/>
      <c r="B31" s="79"/>
      <c r="C31" s="562"/>
      <c r="D31" s="424"/>
      <c r="E31" s="424"/>
      <c r="F31" s="509"/>
      <c r="G31" s="65"/>
    </row>
  </sheetData>
  <sheetProtection/>
  <mergeCells count="4">
    <mergeCell ref="B1:D1"/>
    <mergeCell ref="B3:G3"/>
    <mergeCell ref="B23:F23"/>
    <mergeCell ref="B24:F24"/>
  </mergeCells>
  <printOptions/>
  <pageMargins left="1.19" right="0.16" top="1" bottom="1" header="0.71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140625" style="36" customWidth="1"/>
    <col min="2" max="2" width="48.421875" style="1" customWidth="1"/>
    <col min="3" max="3" width="12.421875" style="1" bestFit="1" customWidth="1"/>
    <col min="4" max="4" width="5.7109375" style="1" customWidth="1"/>
    <col min="5" max="5" width="8.7109375" style="1" customWidth="1"/>
    <col min="6" max="6" width="11.8515625" style="1" customWidth="1"/>
    <col min="7" max="7" width="11.8515625" style="1" bestFit="1" customWidth="1"/>
    <col min="8" max="8" width="8.7109375" style="1" customWidth="1"/>
    <col min="9" max="9" width="10.00390625" style="1" customWidth="1"/>
    <col min="10" max="10" width="11.00390625" style="1" bestFit="1" customWidth="1"/>
    <col min="11" max="13" width="9.140625" style="1" customWidth="1"/>
    <col min="14" max="14" width="9.421875" style="1" customWidth="1"/>
    <col min="15" max="15" width="11.00390625" style="1" bestFit="1" customWidth="1"/>
    <col min="16" max="16384" width="9.140625" style="1" customWidth="1"/>
  </cols>
  <sheetData>
    <row r="1" spans="2:6" ht="20.25">
      <c r="B1" s="1197" t="s">
        <v>1101</v>
      </c>
      <c r="C1" s="1197"/>
      <c r="D1" s="1197"/>
      <c r="E1" s="1197"/>
      <c r="F1" s="1197"/>
    </row>
    <row r="2" spans="1:8" ht="15">
      <c r="A2" s="62"/>
      <c r="B2" s="24"/>
      <c r="C2" s="24"/>
      <c r="D2" s="488"/>
      <c r="E2" s="24"/>
      <c r="F2" s="1219" t="s">
        <v>551</v>
      </c>
      <c r="G2" s="1219"/>
      <c r="H2" s="24"/>
    </row>
    <row r="3" spans="1:8" ht="33.75" customHeight="1">
      <c r="A3" s="1198" t="s">
        <v>1102</v>
      </c>
      <c r="B3" s="1220"/>
      <c r="C3" s="1220"/>
      <c r="D3" s="1220"/>
      <c r="E3" s="1220"/>
      <c r="F3" s="1220"/>
      <c r="G3" s="1220"/>
      <c r="H3" s="24"/>
    </row>
    <row r="4" spans="1:8" ht="15">
      <c r="A4" s="490"/>
      <c r="B4" s="565" t="s">
        <v>1103</v>
      </c>
      <c r="C4" s="491"/>
      <c r="D4" s="491"/>
      <c r="E4" s="491"/>
      <c r="F4" s="491"/>
      <c r="G4" s="491"/>
      <c r="H4" s="24"/>
    </row>
    <row r="5" spans="1:8" ht="10.5" customHeight="1">
      <c r="A5" s="566"/>
      <c r="B5" s="18"/>
      <c r="C5" s="18"/>
      <c r="D5" s="18"/>
      <c r="E5" s="18"/>
      <c r="F5" s="76"/>
      <c r="G5" s="76"/>
      <c r="H5" s="24"/>
    </row>
    <row r="6" spans="1:8" ht="33" customHeight="1">
      <c r="A6" s="497" t="s">
        <v>1335</v>
      </c>
      <c r="B6" s="492" t="s">
        <v>449</v>
      </c>
      <c r="C6" s="553" t="s">
        <v>53</v>
      </c>
      <c r="D6" s="444" t="s">
        <v>450</v>
      </c>
      <c r="E6" s="497" t="s">
        <v>1315</v>
      </c>
      <c r="F6" s="445" t="s">
        <v>799</v>
      </c>
      <c r="G6" s="445" t="s">
        <v>7</v>
      </c>
      <c r="H6" s="24"/>
    </row>
    <row r="7" spans="1:8" ht="15">
      <c r="A7" s="498">
        <v>1</v>
      </c>
      <c r="B7" s="464">
        <v>2</v>
      </c>
      <c r="C7" s="499">
        <v>3</v>
      </c>
      <c r="D7" s="466">
        <v>4</v>
      </c>
      <c r="E7" s="498">
        <v>5</v>
      </c>
      <c r="F7" s="500">
        <v>6</v>
      </c>
      <c r="G7" s="500">
        <v>7</v>
      </c>
      <c r="H7" s="24"/>
    </row>
    <row r="8" spans="1:16" ht="33" customHeight="1">
      <c r="A8" s="498">
        <v>1</v>
      </c>
      <c r="B8" s="504" t="s">
        <v>1104</v>
      </c>
      <c r="C8" s="505">
        <v>7130601965</v>
      </c>
      <c r="D8" s="498" t="s">
        <v>458</v>
      </c>
      <c r="E8" s="498">
        <v>13467.3</v>
      </c>
      <c r="F8" s="506">
        <f>VLOOKUP(C8,'SOR RATE'!A:D,4,0)/1000</f>
        <v>44.989</v>
      </c>
      <c r="G8" s="506">
        <f>E8*F8</f>
        <v>605880.3596999999</v>
      </c>
      <c r="L8" s="567"/>
      <c r="O8" s="507"/>
      <c r="P8" s="507"/>
    </row>
    <row r="9" spans="1:8" ht="16.5" customHeight="1">
      <c r="A9" s="498">
        <v>2</v>
      </c>
      <c r="B9" s="510" t="s">
        <v>1105</v>
      </c>
      <c r="C9" s="505">
        <v>7130310078</v>
      </c>
      <c r="D9" s="498" t="s">
        <v>435</v>
      </c>
      <c r="E9" s="498">
        <v>1060</v>
      </c>
      <c r="F9" s="506">
        <f>VLOOKUP(C9,'SOR RATE'!A:D,4,0)/1000</f>
        <v>775.508</v>
      </c>
      <c r="G9" s="506">
        <f aca="true" t="shared" si="0" ref="G9:G26">E9*F9</f>
        <v>822038.4800000001</v>
      </c>
      <c r="H9" s="568"/>
    </row>
    <row r="10" spans="1:8" ht="31.5" customHeight="1">
      <c r="A10" s="498">
        <v>3</v>
      </c>
      <c r="B10" s="510" t="s">
        <v>1106</v>
      </c>
      <c r="C10" s="505">
        <v>7130352040</v>
      </c>
      <c r="D10" s="498" t="s">
        <v>802</v>
      </c>
      <c r="E10" s="498">
        <v>42</v>
      </c>
      <c r="F10" s="506">
        <f>VLOOKUP(C10,'SOR RATE'!A:D,4,0)</f>
        <v>10187</v>
      </c>
      <c r="G10" s="506">
        <f t="shared" si="0"/>
        <v>427854</v>
      </c>
      <c r="H10" s="24"/>
    </row>
    <row r="11" spans="1:8" ht="28.5">
      <c r="A11" s="498">
        <v>4</v>
      </c>
      <c r="B11" s="189" t="s">
        <v>1107</v>
      </c>
      <c r="C11" s="505">
        <v>7130310062</v>
      </c>
      <c r="D11" s="136" t="s">
        <v>802</v>
      </c>
      <c r="E11" s="498">
        <v>4</v>
      </c>
      <c r="F11" s="506">
        <f>VLOOKUP(C11,'SOR RATE'!A:D,4,0)</f>
        <v>3982</v>
      </c>
      <c r="G11" s="506">
        <f t="shared" si="0"/>
        <v>15928</v>
      </c>
      <c r="H11" s="24"/>
    </row>
    <row r="12" spans="1:8" ht="15">
      <c r="A12" s="498">
        <v>5</v>
      </c>
      <c r="B12" s="189" t="s">
        <v>357</v>
      </c>
      <c r="C12" s="498">
        <v>7130870010</v>
      </c>
      <c r="D12" s="136" t="s">
        <v>803</v>
      </c>
      <c r="E12" s="519">
        <v>6</v>
      </c>
      <c r="F12" s="506">
        <f>VLOOKUP(C12,'SOR RATE'!A:D,4,0)</f>
        <v>681</v>
      </c>
      <c r="G12" s="506">
        <f t="shared" si="0"/>
        <v>4086</v>
      </c>
      <c r="H12" s="24"/>
    </row>
    <row r="13" spans="1:8" ht="15">
      <c r="A13" s="498">
        <v>6</v>
      </c>
      <c r="B13" s="301" t="s">
        <v>1108</v>
      </c>
      <c r="C13" s="498">
        <v>7130810684</v>
      </c>
      <c r="D13" s="498" t="s">
        <v>802</v>
      </c>
      <c r="E13" s="498">
        <v>2</v>
      </c>
      <c r="F13" s="506">
        <f>VLOOKUP(C13,'SOR RATE'!A:D,4,0)</f>
        <v>8457</v>
      </c>
      <c r="G13" s="506">
        <f t="shared" si="0"/>
        <v>16914</v>
      </c>
      <c r="H13" s="24"/>
    </row>
    <row r="14" spans="1:8" ht="15">
      <c r="A14" s="498">
        <v>7</v>
      </c>
      <c r="B14" s="189" t="s">
        <v>1109</v>
      </c>
      <c r="C14" s="498">
        <v>7130797532</v>
      </c>
      <c r="D14" s="500" t="s">
        <v>803</v>
      </c>
      <c r="E14" s="498">
        <v>2</v>
      </c>
      <c r="F14" s="506">
        <f>VLOOKUP(C14,'SOR RATE'!A:D,4,0)</f>
        <v>599</v>
      </c>
      <c r="G14" s="506">
        <f>E14*F14</f>
        <v>1198</v>
      </c>
      <c r="H14" s="24"/>
    </row>
    <row r="15" spans="1:8" ht="14.25" customHeight="1">
      <c r="A15" s="498">
        <v>8</v>
      </c>
      <c r="B15" s="510" t="s">
        <v>1110</v>
      </c>
      <c r="C15" s="498">
        <v>7130797533</v>
      </c>
      <c r="D15" s="500" t="s">
        <v>803</v>
      </c>
      <c r="E15" s="498">
        <v>31</v>
      </c>
      <c r="F15" s="506">
        <f>VLOOKUP(C15,'SOR RATE'!A:D,4,0)</f>
        <v>435</v>
      </c>
      <c r="G15" s="506">
        <f t="shared" si="0"/>
        <v>13485</v>
      </c>
      <c r="H15" s="24"/>
    </row>
    <row r="16" spans="1:8" ht="15">
      <c r="A16" s="498">
        <v>9</v>
      </c>
      <c r="B16" s="515" t="s">
        <v>354</v>
      </c>
      <c r="C16" s="498">
        <v>7130893004</v>
      </c>
      <c r="D16" s="500" t="s">
        <v>803</v>
      </c>
      <c r="E16" s="500">
        <v>33</v>
      </c>
      <c r="F16" s="506">
        <f>VLOOKUP(C16,'SOR RATE'!A:D,4,0)</f>
        <v>161</v>
      </c>
      <c r="G16" s="506">
        <f t="shared" si="0"/>
        <v>5313</v>
      </c>
      <c r="H16" s="24"/>
    </row>
    <row r="17" spans="1:8" ht="15">
      <c r="A17" s="498">
        <v>10</v>
      </c>
      <c r="B17" s="510" t="s">
        <v>1111</v>
      </c>
      <c r="C17" s="498">
        <v>7130860033</v>
      </c>
      <c r="D17" s="500" t="s">
        <v>803</v>
      </c>
      <c r="E17" s="498">
        <v>12</v>
      </c>
      <c r="F17" s="506">
        <f>VLOOKUP(C17,'SOR RATE'!A:D,4,0)</f>
        <v>705</v>
      </c>
      <c r="G17" s="506">
        <f t="shared" si="0"/>
        <v>8460</v>
      </c>
      <c r="H17" s="24"/>
    </row>
    <row r="18" spans="1:8" ht="15">
      <c r="A18" s="498">
        <v>11</v>
      </c>
      <c r="B18" s="510" t="s">
        <v>1112</v>
      </c>
      <c r="C18" s="498">
        <v>7130860076</v>
      </c>
      <c r="D18" s="500" t="s">
        <v>458</v>
      </c>
      <c r="E18" s="498">
        <v>120</v>
      </c>
      <c r="F18" s="506">
        <f>VLOOKUP(C18,'SOR RATE'!A:D,4,0)/1000</f>
        <v>61.002</v>
      </c>
      <c r="G18" s="506">
        <f t="shared" si="0"/>
        <v>7320.240000000001</v>
      </c>
      <c r="H18" s="24"/>
    </row>
    <row r="19" spans="1:8" ht="15">
      <c r="A19" s="498">
        <v>12</v>
      </c>
      <c r="B19" s="510" t="s">
        <v>1113</v>
      </c>
      <c r="C19" s="498">
        <v>7130810692</v>
      </c>
      <c r="D19" s="500" t="s">
        <v>803</v>
      </c>
      <c r="E19" s="500">
        <v>24</v>
      </c>
      <c r="F19" s="506">
        <f>VLOOKUP(C19,'SOR RATE'!A:D,4,0)</f>
        <v>294</v>
      </c>
      <c r="G19" s="506">
        <f t="shared" si="0"/>
        <v>7056</v>
      </c>
      <c r="H19" s="24"/>
    </row>
    <row r="20" spans="1:8" ht="15">
      <c r="A20" s="498">
        <v>13</v>
      </c>
      <c r="B20" s="510" t="s">
        <v>1114</v>
      </c>
      <c r="C20" s="498">
        <v>7130810692</v>
      </c>
      <c r="D20" s="500" t="s">
        <v>803</v>
      </c>
      <c r="E20" s="500">
        <v>33</v>
      </c>
      <c r="F20" s="506">
        <f>VLOOKUP(C20,'SOR RATE'!A:D,4,0)</f>
        <v>294</v>
      </c>
      <c r="G20" s="506">
        <f t="shared" si="0"/>
        <v>9702</v>
      </c>
      <c r="H20" s="24"/>
    </row>
    <row r="21" spans="1:8" ht="15">
      <c r="A21" s="498">
        <v>14</v>
      </c>
      <c r="B21" s="510" t="s">
        <v>1115</v>
      </c>
      <c r="C21" s="569">
        <v>7130600032</v>
      </c>
      <c r="D21" s="500" t="s">
        <v>458</v>
      </c>
      <c r="E21" s="500">
        <v>330</v>
      </c>
      <c r="F21" s="506">
        <f>VLOOKUP(C21,'SOR RATE'!A:D,4,0)/1000</f>
        <v>40.214</v>
      </c>
      <c r="G21" s="506">
        <f t="shared" si="0"/>
        <v>13270.619999999999</v>
      </c>
      <c r="H21" s="24"/>
    </row>
    <row r="22" spans="1:9" ht="15">
      <c r="A22" s="260">
        <v>15</v>
      </c>
      <c r="B22" s="304" t="s">
        <v>455</v>
      </c>
      <c r="C22" s="259">
        <v>7130211158</v>
      </c>
      <c r="D22" s="260" t="s">
        <v>456</v>
      </c>
      <c r="E22" s="260">
        <v>3</v>
      </c>
      <c r="F22" s="506">
        <f>VLOOKUP(C22,'SOR RATE'!A:D,4,0)</f>
        <v>130</v>
      </c>
      <c r="G22" s="261">
        <f>F22*E22</f>
        <v>390</v>
      </c>
      <c r="H22" s="24"/>
      <c r="I22" s="85"/>
    </row>
    <row r="23" spans="1:9" ht="15">
      <c r="A23" s="260">
        <v>16</v>
      </c>
      <c r="B23" s="304" t="s">
        <v>457</v>
      </c>
      <c r="C23" s="259">
        <v>7130210809</v>
      </c>
      <c r="D23" s="260" t="s">
        <v>456</v>
      </c>
      <c r="E23" s="260">
        <v>3</v>
      </c>
      <c r="F23" s="506">
        <f>VLOOKUP(C23,'SOR RATE'!A:D,4,0)</f>
        <v>290</v>
      </c>
      <c r="G23" s="261">
        <f>F23*E23</f>
        <v>870</v>
      </c>
      <c r="H23" s="24"/>
      <c r="I23" s="85"/>
    </row>
    <row r="24" spans="1:8" ht="15">
      <c r="A24" s="498">
        <v>17</v>
      </c>
      <c r="B24" s="510" t="s">
        <v>1116</v>
      </c>
      <c r="C24" s="569">
        <v>7130870013</v>
      </c>
      <c r="D24" s="500" t="s">
        <v>803</v>
      </c>
      <c r="E24" s="498">
        <v>33</v>
      </c>
      <c r="F24" s="506">
        <f>VLOOKUP(C24,'SOR RATE'!A:D,4,0)</f>
        <v>100</v>
      </c>
      <c r="G24" s="506">
        <f t="shared" si="0"/>
        <v>3300</v>
      </c>
      <c r="H24" s="24"/>
    </row>
    <row r="25" spans="1:15" ht="18" customHeight="1">
      <c r="A25" s="498">
        <v>18</v>
      </c>
      <c r="B25" s="139" t="s">
        <v>308</v>
      </c>
      <c r="C25" s="140">
        <v>7130610206</v>
      </c>
      <c r="D25" s="136" t="s">
        <v>458</v>
      </c>
      <c r="E25" s="498">
        <v>33</v>
      </c>
      <c r="F25" s="506">
        <f>VLOOKUP(C25,'SOR RATE'!A:D,4,0)/1000</f>
        <v>66.528</v>
      </c>
      <c r="G25" s="506">
        <f>E25*F25</f>
        <v>2195.424</v>
      </c>
      <c r="H25" s="106"/>
      <c r="N25" s="52"/>
      <c r="O25" s="52"/>
    </row>
    <row r="26" spans="1:8" ht="15">
      <c r="A26" s="498">
        <v>19</v>
      </c>
      <c r="B26" s="515" t="s">
        <v>292</v>
      </c>
      <c r="C26" s="500">
        <v>7130880041</v>
      </c>
      <c r="D26" s="500" t="s">
        <v>803</v>
      </c>
      <c r="E26" s="500">
        <v>33</v>
      </c>
      <c r="F26" s="506">
        <f>VLOOKUP(C26,'SOR RATE'!A:D,4,0)</f>
        <v>74</v>
      </c>
      <c r="G26" s="506">
        <f t="shared" si="0"/>
        <v>2442</v>
      </c>
      <c r="H26" s="24"/>
    </row>
    <row r="27" spans="1:8" ht="30" customHeight="1">
      <c r="A27" s="1211">
        <v>20</v>
      </c>
      <c r="B27" s="510" t="s">
        <v>1117</v>
      </c>
      <c r="C27" s="570"/>
      <c r="D27" s="498" t="s">
        <v>454</v>
      </c>
      <c r="E27" s="498">
        <v>25.05</v>
      </c>
      <c r="F27" s="516"/>
      <c r="G27" s="517"/>
      <c r="H27" s="24"/>
    </row>
    <row r="28" spans="1:8" ht="16.5" customHeight="1">
      <c r="A28" s="1213"/>
      <c r="B28" s="151" t="s">
        <v>307</v>
      </c>
      <c r="C28" s="135">
        <v>7130200401</v>
      </c>
      <c r="D28" s="498" t="s">
        <v>458</v>
      </c>
      <c r="E28" s="571">
        <f>E27*208</f>
        <v>5210.400000000001</v>
      </c>
      <c r="F28" s="506">
        <f>VLOOKUP(C28,'SOR RATE'!A:D,4,0)/50</f>
        <v>5.36</v>
      </c>
      <c r="G28" s="506">
        <f>E28*F28</f>
        <v>27927.744000000006</v>
      </c>
      <c r="H28" s="24"/>
    </row>
    <row r="29" spans="1:8" ht="15.75">
      <c r="A29" s="1211">
        <v>21</v>
      </c>
      <c r="B29" s="151" t="s">
        <v>1552</v>
      </c>
      <c r="C29" s="15"/>
      <c r="D29" s="135" t="s">
        <v>458</v>
      </c>
      <c r="E29" s="225">
        <v>40</v>
      </c>
      <c r="F29" s="3"/>
      <c r="G29" s="138"/>
      <c r="H29" s="24"/>
    </row>
    <row r="30" spans="1:8" ht="15">
      <c r="A30" s="1212"/>
      <c r="B30" s="520" t="s">
        <v>1336</v>
      </c>
      <c r="C30" s="140">
        <v>7130620614</v>
      </c>
      <c r="D30" s="135" t="s">
        <v>458</v>
      </c>
      <c r="E30" s="225">
        <v>26</v>
      </c>
      <c r="F30" s="506">
        <f>VLOOKUP(C30,'SOR RATE'!A:D,4,0)</f>
        <v>63</v>
      </c>
      <c r="G30" s="138">
        <f>E30*F30</f>
        <v>1638</v>
      </c>
      <c r="H30" s="24"/>
    </row>
    <row r="31" spans="1:8" ht="15">
      <c r="A31" s="1213"/>
      <c r="B31" s="520" t="s">
        <v>1345</v>
      </c>
      <c r="C31" s="140">
        <v>7130620631</v>
      </c>
      <c r="D31" s="135" t="s">
        <v>458</v>
      </c>
      <c r="E31" s="225">
        <v>14</v>
      </c>
      <c r="F31" s="506">
        <f>VLOOKUP(C31,'SOR RATE'!A:D,4,0)</f>
        <v>62</v>
      </c>
      <c r="G31" s="138">
        <f>E31*F31</f>
        <v>868</v>
      </c>
      <c r="H31" s="24"/>
    </row>
    <row r="32" spans="1:9" ht="15">
      <c r="A32" s="497">
        <v>22</v>
      </c>
      <c r="B32" s="147" t="s">
        <v>1576</v>
      </c>
      <c r="C32" s="522"/>
      <c r="D32" s="522"/>
      <c r="E32" s="522"/>
      <c r="F32" s="523"/>
      <c r="G32" s="524">
        <f>SUM(G8:G31)</f>
        <v>1998136.8677</v>
      </c>
      <c r="H32" s="103"/>
      <c r="I32" s="1110"/>
    </row>
    <row r="33" spans="1:9" ht="17.25" customHeight="1">
      <c r="A33" s="339">
        <v>23</v>
      </c>
      <c r="B33" s="139" t="s">
        <v>1575</v>
      </c>
      <c r="C33" s="525"/>
      <c r="D33" s="525"/>
      <c r="E33" s="525"/>
      <c r="F33" s="572">
        <v>0.09</v>
      </c>
      <c r="G33" s="572">
        <f>G32*F33</f>
        <v>179832.318093</v>
      </c>
      <c r="H33" s="103"/>
      <c r="I33" s="1110"/>
    </row>
    <row r="34" spans="1:8" ht="15">
      <c r="A34" s="136">
        <v>24</v>
      </c>
      <c r="B34" s="325" t="s">
        <v>1118</v>
      </c>
      <c r="C34" s="326"/>
      <c r="D34" s="326"/>
      <c r="E34" s="326"/>
      <c r="F34" s="573"/>
      <c r="G34" s="138">
        <f>G32*0.07*1.086275*1.1112*1.0685</f>
        <v>180397.2101681852</v>
      </c>
      <c r="H34" s="545"/>
    </row>
    <row r="35" spans="1:8" ht="42.75">
      <c r="A35" s="136">
        <v>25</v>
      </c>
      <c r="B35" s="258" t="s">
        <v>1119</v>
      </c>
      <c r="C35" s="1221" t="s">
        <v>1120</v>
      </c>
      <c r="D35" s="1222"/>
      <c r="E35" s="1222"/>
      <c r="F35" s="425"/>
      <c r="G35" s="138">
        <f>G32*0.03*1.1797*1.1402*0.9368</f>
        <v>75534.60908331937</v>
      </c>
      <c r="H35" s="24"/>
    </row>
    <row r="36" spans="1:9" ht="14.25">
      <c r="A36" s="136">
        <v>26</v>
      </c>
      <c r="B36" s="425" t="s">
        <v>1312</v>
      </c>
      <c r="C36" s="141"/>
      <c r="D36" s="141" t="s">
        <v>454</v>
      </c>
      <c r="E36" s="141" t="s">
        <v>1121</v>
      </c>
      <c r="F36" s="473">
        <f>1664*1.27*1.0891*1.086275*1.1112*1.0685</f>
        <v>2968.460981603261</v>
      </c>
      <c r="G36" s="138">
        <f>E36*F36</f>
        <v>63673.48805538995</v>
      </c>
      <c r="H36" s="104"/>
      <c r="I36" s="56"/>
    </row>
    <row r="37" spans="1:9" ht="14.25">
      <c r="A37" s="136">
        <v>27</v>
      </c>
      <c r="B37" s="197" t="s">
        <v>1122</v>
      </c>
      <c r="C37" s="141"/>
      <c r="D37" s="141" t="s">
        <v>803</v>
      </c>
      <c r="E37" s="239">
        <v>33</v>
      </c>
      <c r="F37" s="138">
        <f>1417.73*1.086275*1.1112*1.0685</f>
        <v>1828.5215085400541</v>
      </c>
      <c r="G37" s="138">
        <f>E37*F37</f>
        <v>60341.20978182179</v>
      </c>
      <c r="H37" s="104"/>
      <c r="I37" s="56"/>
    </row>
    <row r="38" spans="1:9" ht="15">
      <c r="A38" s="59">
        <v>28</v>
      </c>
      <c r="B38" s="147" t="s">
        <v>1577</v>
      </c>
      <c r="C38" s="141"/>
      <c r="D38" s="141"/>
      <c r="E38" s="239"/>
      <c r="F38" s="138"/>
      <c r="G38" s="148">
        <f>G32+G33+G34+G35+G36+G37</f>
        <v>2557915.7028817167</v>
      </c>
      <c r="H38" s="104"/>
      <c r="I38" s="56"/>
    </row>
    <row r="39" spans="1:9" ht="28.5">
      <c r="A39" s="136">
        <v>29</v>
      </c>
      <c r="B39" s="139" t="s">
        <v>1578</v>
      </c>
      <c r="C39" s="141"/>
      <c r="D39" s="141"/>
      <c r="E39" s="239"/>
      <c r="F39" s="138">
        <v>0.11</v>
      </c>
      <c r="G39" s="138">
        <f>G32*F39</f>
        <v>219795.05544700002</v>
      </c>
      <c r="H39" s="104"/>
      <c r="I39" s="56"/>
    </row>
    <row r="40" spans="1:9" ht="15">
      <c r="A40" s="136">
        <v>30</v>
      </c>
      <c r="B40" s="1223" t="s">
        <v>364</v>
      </c>
      <c r="C40" s="1223"/>
      <c r="D40" s="1223"/>
      <c r="E40" s="1223"/>
      <c r="F40" s="1223"/>
      <c r="G40" s="138">
        <f>G38+G39</f>
        <v>2777710.7583287167</v>
      </c>
      <c r="H40" s="24"/>
      <c r="I40" s="270"/>
    </row>
    <row r="41" spans="1:8" ht="15">
      <c r="A41" s="59">
        <v>31</v>
      </c>
      <c r="B41" s="1218" t="s">
        <v>365</v>
      </c>
      <c r="C41" s="1218"/>
      <c r="D41" s="1218"/>
      <c r="E41" s="1218"/>
      <c r="F41" s="1218"/>
      <c r="G41" s="148">
        <f>ROUND(G40,0)</f>
        <v>2777711</v>
      </c>
      <c r="H41" s="24"/>
    </row>
    <row r="42" spans="1:8" ht="15">
      <c r="A42" s="62"/>
      <c r="B42" s="537"/>
      <c r="C42" s="537"/>
      <c r="D42" s="538"/>
      <c r="E42" s="76"/>
      <c r="F42" s="76"/>
      <c r="G42" s="76"/>
      <c r="H42" s="24"/>
    </row>
    <row r="43" spans="1:8" ht="15">
      <c r="A43" s="62"/>
      <c r="B43" s="24"/>
      <c r="C43" s="24"/>
      <c r="D43" s="24"/>
      <c r="E43" s="24"/>
      <c r="F43" s="24"/>
      <c r="G43" s="24"/>
      <c r="H43" s="24"/>
    </row>
  </sheetData>
  <sheetProtection/>
  <mergeCells count="8">
    <mergeCell ref="A27:A28"/>
    <mergeCell ref="A29:A31"/>
    <mergeCell ref="B41:F41"/>
    <mergeCell ref="B1:F1"/>
    <mergeCell ref="F2:G2"/>
    <mergeCell ref="A3:G3"/>
    <mergeCell ref="C35:E35"/>
    <mergeCell ref="B40:F40"/>
  </mergeCells>
  <printOptions/>
  <pageMargins left="1.02" right="0.15" top="0.78" bottom="0.35" header="0.5" footer="0.19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cseb</dc:creator>
  <cp:keywords/>
  <dc:description/>
  <cp:lastModifiedBy>hcl</cp:lastModifiedBy>
  <cp:lastPrinted>2015-06-30T12:23:40Z</cp:lastPrinted>
  <dcterms:created xsi:type="dcterms:W3CDTF">2007-07-20T07:15:19Z</dcterms:created>
  <dcterms:modified xsi:type="dcterms:W3CDTF">2015-07-29T09:52:27Z</dcterms:modified>
  <cp:category/>
  <cp:version/>
  <cp:contentType/>
  <cp:contentStatus/>
</cp:coreProperties>
</file>